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" windowWidth="6050" windowHeight="4660" tabRatio="835" activeTab="0"/>
  </bookViews>
  <sheets>
    <sheet name="Лист1Кредит1 пуст" sheetId="1" r:id="rId1"/>
    <sheet name="Лист2Кредит2 пуст" sheetId="2" r:id="rId2"/>
    <sheet name="Лист3Кредит1 зап" sheetId="3" r:id="rId3"/>
    <sheet name="Лист4Кредит2зап" sheetId="4" r:id="rId4"/>
    <sheet name="Лист6Сравн1 послмес" sheetId="5" r:id="rId5"/>
    <sheet name="Лист7Сравн1- посл м рез" sheetId="6" r:id="rId6"/>
    <sheet name="Лист8Лепестковая" sheetId="7" r:id="rId7"/>
    <sheet name="Лист9Кредитмес" sheetId="8" r:id="rId8"/>
    <sheet name="Лист10Сводная таб" sheetId="9" r:id="rId9"/>
    <sheet name="Лист11Столб.диагр" sheetId="10" r:id="rId10"/>
    <sheet name="Лист12Сводная таб (2)" sheetId="11" r:id="rId11"/>
    <sheet name="Лист13Сводная граф" sheetId="12" r:id="rId12"/>
    <sheet name="Лист14Сводная проц (2)" sheetId="13" r:id="rId13"/>
    <sheet name="Лист15Сводная проц" sheetId="14" r:id="rId14"/>
    <sheet name="Лист16Сводная таб (1)" sheetId="15" r:id="rId15"/>
  </sheets>
  <definedNames/>
  <calcPr fullCalcOnLoad="1"/>
</workbook>
</file>

<file path=xl/sharedStrings.xml><?xml version="1.0" encoding="utf-8"?>
<sst xmlns="http://schemas.openxmlformats.org/spreadsheetml/2006/main" count="265" uniqueCount="44">
  <si>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</si>
  <si>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</si>
  <si>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</si>
  <si>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</si>
  <si>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</si>
  <si>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</si>
  <si>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</si>
  <si>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</si>
  <si>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</si>
  <si>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</si>
  <si>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Дата платежа</t>
  </si>
  <si>
    <t>Сумма платежа</t>
  </si>
  <si>
    <t>Итого</t>
  </si>
  <si>
    <t>Проценты</t>
  </si>
  <si>
    <t>Почт.перевод</t>
  </si>
  <si>
    <t>Сумма кредита</t>
  </si>
  <si>
    <t>Процент кредита</t>
  </si>
  <si>
    <t>Октябрь</t>
  </si>
  <si>
    <t>Ноябрь</t>
  </si>
  <si>
    <t xml:space="preserve">Комиссия </t>
  </si>
  <si>
    <t>Расчет кредита 2</t>
  </si>
  <si>
    <t>Кредит 1</t>
  </si>
  <si>
    <t>Кредит 2</t>
  </si>
  <si>
    <t>Итого по оплате</t>
  </si>
  <si>
    <t>Сводная таблица данных по двум кредитам.</t>
  </si>
  <si>
    <t>Данные в таблице представлены в руб.</t>
  </si>
  <si>
    <t>Часть основного долга</t>
  </si>
  <si>
    <t>Расчет кредита 1.</t>
  </si>
  <si>
    <t>Общая сумма платежа</t>
  </si>
  <si>
    <t>Почтовый перевод</t>
  </si>
  <si>
    <t xml:space="preserve">Расчетный период 12 месяцев с 28.11.04    </t>
  </si>
  <si>
    <t xml:space="preserve">Расчетный период 24 месяцев с 23.12.04    </t>
  </si>
  <si>
    <t>1.Построить  круговую диаграмму состава переплат по двум кредитам.</t>
  </si>
  <si>
    <t>1.Построить  объемную гистограмму сумм  переплат по двум кредитам.</t>
  </si>
  <si>
    <t>Сравнить состав выплат за первый и последние месяцы кредитов.</t>
  </si>
  <si>
    <t>1.Построить столбиковую диаграмму выплат по двум кредитам.</t>
  </si>
  <si>
    <t xml:space="preserve">Реальный процент переплаты </t>
  </si>
  <si>
    <t>Построить гистограммы по двум кредитам на текущем листе.</t>
  </si>
  <si>
    <t>Сумма переплаты</t>
  </si>
  <si>
    <t>Высчитать реальный процент переплаты от указанных сумм кредита.</t>
  </si>
  <si>
    <t>?</t>
  </si>
  <si>
    <t xml:space="preserve">Расчетный период 12 месяцев с 28.11.06    </t>
  </si>
  <si>
    <t xml:space="preserve">Расчетный период 24 месяца с 23.12.06    </t>
  </si>
  <si>
    <t xml:space="preserve">Расчетный период 24 месяцев с 23.12.06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</si>
</sst>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0_р_._-;\-* #,##0.0000000_р_._-;_-* &quot;-&quot;???????_р_._-;_-@_-"/>
    <numFmt numFmtId="165" formatCode="#,##0.00_р_.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0.00000"/>
  </numFmts>
  <fonts count="33">
    <font>
      <sz val="10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4"/>
      <name val="Times New Roman CE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8.5"/>
      <name val="Arial Cyr"/>
      <family val="0"/>
    </font>
    <font>
      <b/>
      <sz val="8"/>
      <name val="Arial Cyr"/>
      <family val="0"/>
    </font>
    <font>
      <sz val="8.5"/>
      <name val="Arial Cyr"/>
      <family val="0"/>
    </font>
    <font>
      <b/>
      <sz val="13.5"/>
      <name val="Arial Cyr"/>
      <family val="0"/>
    </font>
    <font>
      <sz val="9.75"/>
      <name val="Arial Cyr"/>
      <family val="0"/>
    </font>
    <font>
      <sz val="16.75"/>
      <name val="Arial Cyr"/>
      <family val="0"/>
    </font>
    <font>
      <sz val="10.5"/>
      <name val="Arial Cyr"/>
      <family val="0"/>
    </font>
    <font>
      <sz val="8"/>
      <name val="Arial Cyr"/>
      <family val="0"/>
    </font>
    <font>
      <b/>
      <sz val="17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.5"/>
      <name val="Arial Cyr"/>
      <family val="2"/>
    </font>
    <font>
      <b/>
      <sz val="9.75"/>
      <name val="Arial Cyr"/>
      <family val="2"/>
    </font>
    <font>
      <b/>
      <sz val="11.75"/>
      <name val="Arial Cyr"/>
      <family val="2"/>
    </font>
    <font>
      <b/>
      <sz val="13.75"/>
      <name val="Arial Cyr"/>
      <family val="2"/>
    </font>
    <font>
      <b/>
      <sz val="18"/>
      <name val="Arial Cyr"/>
      <family val="2"/>
    </font>
    <font>
      <sz val="16"/>
      <color indexed="60"/>
      <name val="Arial Cyr"/>
      <family val="2"/>
    </font>
    <font>
      <sz val="10"/>
      <color indexed="16"/>
      <name val="Arial Cyr"/>
      <family val="2"/>
    </font>
    <font>
      <sz val="10.25"/>
      <name val="Arial Cyr"/>
      <family val="0"/>
    </font>
    <font>
      <b/>
      <sz val="14"/>
      <color indexed="60"/>
      <name val="Arial Cyr"/>
      <family val="2"/>
    </font>
    <font>
      <b/>
      <sz val="10.25"/>
      <name val="Arial Cyr"/>
      <family val="2"/>
    </font>
    <font>
      <b/>
      <sz val="14"/>
      <color indexed="16"/>
      <name val="Arial Cyr"/>
      <family val="2"/>
    </font>
    <font>
      <b/>
      <sz val="2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5" fillId="2" borderId="2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5" fontId="2" fillId="0" borderId="3" xfId="0" applyNumberFormat="1" applyFont="1" applyBorder="1" applyAlignment="1">
      <alignment/>
    </xf>
    <xf numFmtId="43" fontId="3" fillId="0" borderId="0" xfId="0" applyNumberFormat="1" applyFont="1" applyFill="1" applyAlignment="1">
      <alignment/>
    </xf>
    <xf numFmtId="165" fontId="5" fillId="2" borderId="4" xfId="0" applyNumberFormat="1" applyFont="1" applyFill="1" applyBorder="1" applyAlignment="1">
      <alignment/>
    </xf>
    <xf numFmtId="165" fontId="5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43" fontId="3" fillId="3" borderId="8" xfId="0" applyNumberFormat="1" applyFont="1" applyFill="1" applyBorder="1" applyAlignment="1">
      <alignment/>
    </xf>
    <xf numFmtId="165" fontId="3" fillId="3" borderId="8" xfId="0" applyNumberFormat="1" applyFont="1" applyFill="1" applyBorder="1" applyAlignment="1">
      <alignment/>
    </xf>
    <xf numFmtId="165" fontId="2" fillId="3" borderId="9" xfId="0" applyNumberFormat="1" applyFont="1" applyFill="1" applyBorder="1" applyAlignment="1">
      <alignment/>
    </xf>
    <xf numFmtId="165" fontId="5" fillId="2" borderId="10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4" borderId="7" xfId="0" applyNumberFormat="1" applyFont="1" applyFill="1" applyBorder="1" applyAlignment="1">
      <alignment/>
    </xf>
    <xf numFmtId="165" fontId="2" fillId="4" borderId="8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1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0" applyFill="1" applyAlignment="1">
      <alignment/>
    </xf>
    <xf numFmtId="165" fontId="6" fillId="4" borderId="7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5" fillId="4" borderId="9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" borderId="13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165" fontId="6" fillId="4" borderId="2" xfId="0" applyNumberFormat="1" applyFont="1" applyFill="1" applyBorder="1" applyAlignment="1">
      <alignment/>
    </xf>
    <xf numFmtId="165" fontId="18" fillId="0" borderId="1" xfId="0" applyNumberFormat="1" applyFont="1" applyFill="1" applyBorder="1" applyAlignment="1">
      <alignment/>
    </xf>
    <xf numFmtId="165" fontId="18" fillId="0" borderId="3" xfId="0" applyNumberFormat="1" applyFont="1" applyFill="1" applyBorder="1" applyAlignment="1">
      <alignment/>
    </xf>
    <xf numFmtId="165" fontId="6" fillId="4" borderId="16" xfId="0" applyNumberFormat="1" applyFont="1" applyFill="1" applyBorder="1" applyAlignment="1">
      <alignment/>
    </xf>
    <xf numFmtId="165" fontId="18" fillId="0" borderId="17" xfId="0" applyNumberFormat="1" applyFont="1" applyFill="1" applyBorder="1" applyAlignment="1">
      <alignment/>
    </xf>
    <xf numFmtId="165" fontId="18" fillId="0" borderId="18" xfId="0" applyNumberFormat="1" applyFont="1" applyFill="1" applyBorder="1" applyAlignment="1">
      <alignment/>
    </xf>
    <xf numFmtId="165" fontId="2" fillId="4" borderId="8" xfId="0" applyNumberFormat="1" applyFont="1" applyFill="1" applyBorder="1" applyAlignment="1">
      <alignment horizontal="justify" wrapText="1"/>
    </xf>
    <xf numFmtId="165" fontId="2" fillId="4" borderId="9" xfId="0" applyNumberFormat="1" applyFont="1" applyFill="1" applyBorder="1" applyAlignment="1">
      <alignment wrapText="1"/>
    </xf>
    <xf numFmtId="165" fontId="2" fillId="4" borderId="8" xfId="0" applyNumberFormat="1" applyFont="1" applyFill="1" applyBorder="1" applyAlignment="1">
      <alignment wrapText="1"/>
    </xf>
    <xf numFmtId="43" fontId="5" fillId="3" borderId="8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43" fontId="6" fillId="5" borderId="8" xfId="0" applyNumberFormat="1" applyFont="1" applyFill="1" applyBorder="1" applyAlignment="1">
      <alignment/>
    </xf>
    <xf numFmtId="165" fontId="6" fillId="5" borderId="8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43" fontId="6" fillId="2" borderId="8" xfId="0" applyNumberFormat="1" applyFont="1" applyFill="1" applyBorder="1" applyAlignment="1">
      <alignment/>
    </xf>
    <xf numFmtId="165" fontId="6" fillId="2" borderId="8" xfId="0" applyNumberFormat="1" applyFont="1" applyFill="1" applyBorder="1" applyAlignment="1">
      <alignment/>
    </xf>
    <xf numFmtId="165" fontId="6" fillId="6" borderId="2" xfId="0" applyNumberFormat="1" applyFont="1" applyFill="1" applyBorder="1" applyAlignment="1">
      <alignment/>
    </xf>
    <xf numFmtId="165" fontId="18" fillId="6" borderId="1" xfId="0" applyNumberFormat="1" applyFont="1" applyFill="1" applyBorder="1" applyAlignment="1">
      <alignment/>
    </xf>
    <xf numFmtId="165" fontId="18" fillId="6" borderId="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43" fontId="6" fillId="0" borderId="8" xfId="0" applyNumberFormat="1" applyFont="1" applyFill="1" applyBorder="1" applyAlignment="1">
      <alignment/>
    </xf>
    <xf numFmtId="165" fontId="6" fillId="0" borderId="9" xfId="0" applyNumberFormat="1" applyFont="1" applyFill="1" applyBorder="1" applyAlignment="1">
      <alignment/>
    </xf>
    <xf numFmtId="0" fontId="17" fillId="3" borderId="0" xfId="0" applyFont="1" applyFill="1" applyAlignment="1">
      <alignment wrapText="1"/>
    </xf>
    <xf numFmtId="2" fontId="23" fillId="3" borderId="0" xfId="0" applyNumberFormat="1" applyFont="1" applyFill="1" applyAlignment="1">
      <alignment wrapText="1"/>
    </xf>
    <xf numFmtId="0" fontId="1" fillId="7" borderId="0" xfId="0" applyFont="1" applyFill="1" applyAlignment="1">
      <alignment/>
    </xf>
    <xf numFmtId="165" fontId="5" fillId="2" borderId="16" xfId="0" applyNumberFormat="1" applyFont="1" applyFill="1" applyBorder="1" applyAlignment="1">
      <alignment/>
    </xf>
    <xf numFmtId="165" fontId="5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5" fillId="2" borderId="19" xfId="0" applyNumberFormat="1" applyFont="1" applyFill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5" borderId="11" xfId="0" applyNumberFormat="1" applyFont="1" applyFill="1" applyBorder="1" applyAlignment="1">
      <alignment/>
    </xf>
    <xf numFmtId="165" fontId="3" fillId="5" borderId="17" xfId="0" applyNumberFormat="1" applyFont="1" applyFill="1" applyBorder="1" applyAlignment="1">
      <alignment/>
    </xf>
    <xf numFmtId="165" fontId="3" fillId="5" borderId="21" xfId="0" applyNumberFormat="1" applyFont="1" applyFill="1" applyBorder="1" applyAlignment="1">
      <alignment/>
    </xf>
    <xf numFmtId="165" fontId="3" fillId="5" borderId="20" xfId="0" applyNumberFormat="1" applyFont="1" applyFill="1" applyBorder="1" applyAlignment="1">
      <alignment/>
    </xf>
    <xf numFmtId="165" fontId="5" fillId="5" borderId="11" xfId="0" applyNumberFormat="1" applyFont="1" applyFill="1" applyBorder="1" applyAlignment="1">
      <alignment/>
    </xf>
    <xf numFmtId="165" fontId="5" fillId="5" borderId="17" xfId="0" applyNumberFormat="1" applyFont="1" applyFill="1" applyBorder="1" applyAlignment="1">
      <alignment/>
    </xf>
    <xf numFmtId="165" fontId="5" fillId="5" borderId="20" xfId="0" applyNumberFormat="1" applyFont="1" applyFill="1" applyBorder="1" applyAlignment="1">
      <alignment/>
    </xf>
    <xf numFmtId="0" fontId="17" fillId="7" borderId="0" xfId="0" applyFont="1" applyFill="1" applyAlignment="1">
      <alignment/>
    </xf>
    <xf numFmtId="43" fontId="3" fillId="7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6" fillId="3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65" fontId="30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Состав выплат за первый и последний месяцы кредита.Кредит 12 мес.</a:t>
            </a:r>
          </a:p>
        </c:rich>
      </c:tx>
      <c:layout>
        <c:manualLayout>
          <c:xMode val="factor"/>
          <c:yMode val="factor"/>
          <c:x val="0.10175"/>
          <c:y val="-0.01925"/>
        </c:manualLayout>
      </c:layout>
      <c:spPr>
        <a:solidFill>
          <a:srgbClr val="CC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2355"/>
          <c:w val="0.95975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'Лист7Сравн1- посл м рез'!$A$5</c:f>
              <c:strCache>
                <c:ptCount val="1"/>
                <c:pt idx="0">
                  <c:v>Декабрь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'Лист7Сравн1- посл м рез'!$C$4:$F$4</c:f>
              <c:strCache/>
            </c:strRef>
          </c:cat>
          <c:val>
            <c:numRef>
              <c:f>'Лист7Сравн1- посл м рез'!$C$5:$F$5</c:f>
              <c:numCache/>
            </c:numRef>
          </c:val>
          <c:shape val="box"/>
        </c:ser>
        <c:ser>
          <c:idx val="1"/>
          <c:order val="1"/>
          <c:tx>
            <c:strRef>
              <c:f>'Лист7Сравн1- посл м рез'!$A$6</c:f>
              <c:strCache>
                <c:ptCount val="1"/>
                <c:pt idx="0">
                  <c:v>Ноябрь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'Лист7Сравн1- посл м рез'!$C$4:$F$4</c:f>
              <c:strCache/>
            </c:strRef>
          </c:cat>
          <c:val>
            <c:numRef>
              <c:f>'Лист7Сравн1- посл м рез'!$C$6:$F$6</c:f>
              <c:numCache/>
            </c:numRef>
          </c:val>
          <c:shape val="box"/>
        </c:ser>
        <c:shape val="box"/>
        <c:axId val="57531345"/>
        <c:axId val="48020058"/>
      </c:bar3D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531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"/>
          <c:y val="0.286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Состав выплат за первый и последний месяцы кредита. Кредит 24 мес.</a:t>
            </a:r>
          </a:p>
        </c:rich>
      </c:tx>
      <c:layout>
        <c:manualLayout>
          <c:xMode val="factor"/>
          <c:yMode val="factor"/>
          <c:x val="0.055"/>
          <c:y val="-0.0195"/>
        </c:manualLayout>
      </c:layout>
      <c:spPr>
        <a:solidFill>
          <a:srgbClr val="CC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7"/>
          <c:w val="1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'Лист7Сравн1- посл м рез'!$A$12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'Лист7Сравн1- посл м рез'!$C$11:$F$11</c:f>
              <c:strCache/>
            </c:strRef>
          </c:cat>
          <c:val>
            <c:numRef>
              <c:f>'Лист7Сравн1- посл м рез'!$C$12:$F$12</c:f>
              <c:numCache/>
            </c:numRef>
          </c:val>
          <c:shape val="box"/>
        </c:ser>
        <c:ser>
          <c:idx val="1"/>
          <c:order val="1"/>
          <c:tx>
            <c:strRef>
              <c:f>'Лист7Сравн1- посл м рез'!$A$13</c:f>
              <c:strCache>
                <c:ptCount val="1"/>
                <c:pt idx="0">
                  <c:v>Декабрь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'Лист7Сравн1- посл м рез'!$C$11:$F$11</c:f>
              <c:strCache/>
            </c:strRef>
          </c:cat>
          <c:val>
            <c:numRef>
              <c:f>'Лист7Сравн1- посл м рез'!$C$13:$F$13</c:f>
              <c:numCache/>
            </c:numRef>
          </c:val>
          <c:shape val="box"/>
        </c:ser>
        <c:shape val="box"/>
        <c:axId val="29527339"/>
        <c:axId val="64419460"/>
      </c:bar3D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527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282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yr"/>
                <a:ea typeface="Arial Cyr"/>
                <a:cs typeface="Arial Cyr"/>
              </a:rPr>
              <a:t>Лепестковая  диаграмма.</a:t>
            </a:r>
          </a:p>
        </c:rich>
      </c:tx>
      <c:layout>
        <c:manualLayout>
          <c:xMode val="factor"/>
          <c:yMode val="factor"/>
          <c:x val="0.282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053"/>
          <c:w val="0.45525"/>
          <c:h val="0.94075"/>
        </c:manualLayout>
      </c:layout>
      <c:radarChart>
        <c:radarStyle val="marker"/>
        <c:varyColors val="0"/>
        <c:ser>
          <c:idx val="0"/>
          <c:order val="0"/>
          <c:tx>
            <c:strRef>
              <c:f>Лист9Кредитмес!$C$4</c:f>
              <c:strCache>
                <c:ptCount val="1"/>
                <c:pt idx="0">
                  <c:v>Проценты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Лист9Кредитмес!$A$5:$A$16</c:f>
              <c:strCache>
                <c:ptCount val="12"/>
                <c:pt idx="0">
                  <c:v>Декабрь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Июль</c:v>
                </c:pt>
                <c:pt idx="8">
                  <c:v>Август</c:v>
                </c:pt>
                <c:pt idx="9">
                  <c:v>Сентябрь</c:v>
                </c:pt>
                <c:pt idx="10">
                  <c:v>Октябрь</c:v>
                </c:pt>
                <c:pt idx="11">
                  <c:v>Ноябрь</c:v>
                </c:pt>
              </c:strCache>
            </c:strRef>
          </c:cat>
          <c:val>
            <c:numRef>
              <c:f>Лист9Кредитмес!$C$5:$C$16</c:f>
              <c:numCache>
                <c:ptCount val="12"/>
                <c:pt idx="0">
                  <c:v>241.27397260273972</c:v>
                </c:pt>
                <c:pt idx="1">
                  <c:v>230.19126903734283</c:v>
                </c:pt>
                <c:pt idx="2">
                  <c:v>210.88725828290433</c:v>
                </c:pt>
                <c:pt idx="3">
                  <c:v>172.761570683809</c:v>
                </c:pt>
                <c:pt idx="4">
                  <c:v>171.04098596129867</c:v>
                </c:pt>
                <c:pt idx="5">
                  <c:v>145.9185173217483</c:v>
                </c:pt>
                <c:pt idx="6">
                  <c:v>130.1185489046881</c:v>
                </c:pt>
                <c:pt idx="7">
                  <c:v>105.67709616418854</c:v>
                </c:pt>
                <c:pt idx="8">
                  <c:v>87.88637177990917</c:v>
                </c:pt>
                <c:pt idx="9">
                  <c:v>66.28598884780963</c:v>
                </c:pt>
                <c:pt idx="10">
                  <c:v>42.906813708610116</c:v>
                </c:pt>
                <c:pt idx="11">
                  <c:v>21.30079682679937</c:v>
                </c:pt>
              </c:numCache>
            </c:numRef>
          </c:val>
        </c:ser>
        <c:ser>
          <c:idx val="1"/>
          <c:order val="1"/>
          <c:tx>
            <c:strRef>
              <c:f>Лист9Кредитмес!$D$4</c:f>
              <c:strCache>
                <c:ptCount val="1"/>
                <c:pt idx="0">
                  <c:v>Часть основного долга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Лист9Кредитмес!$A$5:$A$16</c:f>
              <c:strCache>
                <c:ptCount val="12"/>
                <c:pt idx="0">
                  <c:v>Декабрь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Июль</c:v>
                </c:pt>
                <c:pt idx="8">
                  <c:v>Август</c:v>
                </c:pt>
                <c:pt idx="9">
                  <c:v>Сентябрь</c:v>
                </c:pt>
                <c:pt idx="10">
                  <c:v>Октябрь</c:v>
                </c:pt>
                <c:pt idx="11">
                  <c:v>Ноябрь</c:v>
                </c:pt>
              </c:strCache>
            </c:strRef>
          </c:cat>
          <c:val>
            <c:numRef>
              <c:f>Лист9Кредитмес!$D$5:$D$16</c:f>
              <c:numCache>
                <c:ptCount val="12"/>
                <c:pt idx="0">
                  <c:v>1185.1760273972602</c:v>
                </c:pt>
                <c:pt idx="1">
                  <c:v>1196.2587309626572</c:v>
                </c:pt>
                <c:pt idx="2">
                  <c:v>1215.5627417170956</c:v>
                </c:pt>
                <c:pt idx="3">
                  <c:v>1253.688429316191</c:v>
                </c:pt>
                <c:pt idx="4">
                  <c:v>1255.4090140387013</c:v>
                </c:pt>
                <c:pt idx="5">
                  <c:v>1280.5314826782517</c:v>
                </c:pt>
                <c:pt idx="6">
                  <c:v>1296.3314510953119</c:v>
                </c:pt>
                <c:pt idx="7">
                  <c:v>1320.7729038358116</c:v>
                </c:pt>
                <c:pt idx="8">
                  <c:v>1338.5636282200908</c:v>
                </c:pt>
                <c:pt idx="9">
                  <c:v>1360.1640111521904</c:v>
                </c:pt>
                <c:pt idx="10">
                  <c:v>1383.54318629139</c:v>
                </c:pt>
                <c:pt idx="11">
                  <c:v>1363.998393295049</c:v>
                </c:pt>
              </c:numCache>
            </c:numRef>
          </c:val>
        </c:ser>
        <c:axId val="42904229"/>
        <c:axId val="50593742"/>
      </c:radarChart>
      <c:catAx>
        <c:axId val="42904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</c:scaling>
        <c:axPos val="l"/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42904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845"/>
          <c:w val="0.208"/>
          <c:h val="0.403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Сравнение  двух кредитов по основным показателям.</a:t>
            </a:r>
          </a:p>
        </c:rich>
      </c:tx>
      <c:layout>
        <c:manualLayout>
          <c:xMode val="factor"/>
          <c:yMode val="factor"/>
          <c:x val="0.00125"/>
          <c:y val="0.02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"/>
          <c:w val="0.856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'Лист13Сводная граф'!$A$4</c:f>
              <c:strCache>
                <c:ptCount val="1"/>
                <c:pt idx="0">
                  <c:v>Кредит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'Лист13Сводная граф'!$B$3:$E$3</c:f>
              <c:strCache>
                <c:ptCount val="4"/>
                <c:pt idx="0">
                  <c:v>Сумма кредита</c:v>
                </c:pt>
                <c:pt idx="1">
                  <c:v>Проценты</c:v>
                </c:pt>
                <c:pt idx="2">
                  <c:v>Комиссия </c:v>
                </c:pt>
                <c:pt idx="3">
                  <c:v>Почт.перевод</c:v>
                </c:pt>
              </c:strCache>
            </c:strRef>
          </c:cat>
          <c:val>
            <c:numRef>
              <c:f>'Лист13Сводная граф'!$B$4:$E$4</c:f>
              <c:numCache>
                <c:ptCount val="4"/>
                <c:pt idx="0">
                  <c:v>15450</c:v>
                </c:pt>
                <c:pt idx="1">
                  <c:v>1626.249190121848</c:v>
                </c:pt>
                <c:pt idx="2">
                  <c:v>3522.6</c:v>
                </c:pt>
                <c:pt idx="3">
                  <c:v>205.98849190121845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'Лист13Сводная граф'!$A$5</c:f>
              <c:strCache>
                <c:ptCount val="1"/>
                <c:pt idx="0">
                  <c:v>Кредит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'Лист13Сводная граф'!$B$3:$E$3</c:f>
              <c:strCache>
                <c:ptCount val="4"/>
                <c:pt idx="0">
                  <c:v>Сумма кредита</c:v>
                </c:pt>
                <c:pt idx="1">
                  <c:v>Проценты</c:v>
                </c:pt>
                <c:pt idx="2">
                  <c:v>Комиссия </c:v>
                </c:pt>
                <c:pt idx="3">
                  <c:v>Почт.перевод</c:v>
                </c:pt>
              </c:strCache>
            </c:strRef>
          </c:cat>
          <c:val>
            <c:numRef>
              <c:f>'Лист13Сводная граф'!$B$5:$E$5</c:f>
              <c:numCache>
                <c:ptCount val="4"/>
                <c:pt idx="0">
                  <c:v>18900</c:v>
                </c:pt>
                <c:pt idx="1">
                  <c:v>3937.38</c:v>
                </c:pt>
                <c:pt idx="2">
                  <c:v>8618.4</c:v>
                </c:pt>
                <c:pt idx="3">
                  <c:v>314.37964394672093</c:v>
                </c:pt>
              </c:numCache>
            </c:numRef>
          </c:val>
          <c:shape val="box"/>
        </c:ser>
        <c:shape val="box"/>
        <c:axId val="52690495"/>
        <c:axId val="4452408"/>
      </c:bar3DChart>
      <c:catAx>
        <c:axId val="52690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69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5375"/>
          <c:w val="0.11425"/>
          <c:h val="0.31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Состав переплаты по кредиту 1</a:t>
            </a:r>
          </a:p>
        </c:rich>
      </c:tx>
      <c:layout>
        <c:manualLayout>
          <c:xMode val="factor"/>
          <c:yMode val="factor"/>
          <c:x val="-0.01725"/>
          <c:y val="-0.01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25725"/>
          <c:w val="0.92475"/>
          <c:h val="0.426"/>
        </c:manualLayout>
      </c:layout>
      <c:pie3DChart>
        <c:varyColors val="1"/>
        <c:ser>
          <c:idx val="0"/>
          <c:order val="0"/>
          <c:tx>
            <c:strRef>
              <c:f>'Лист13Сводная граф'!$A$4</c:f>
              <c:strCache>
                <c:ptCount val="1"/>
                <c:pt idx="0">
                  <c:v>Кредит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'Лист13Сводная граф'!$C$3:$E$3</c:f>
              <c:strCache/>
            </c:strRef>
          </c:cat>
          <c:val>
            <c:numRef>
              <c:f>'Лист13Сводная граф'!$C$4:$E$4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575"/>
          <c:y val="0.719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Состав переплаты по кредиту 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5"/>
          <c:y val="0.29825"/>
          <c:w val="0.88475"/>
          <c:h val="0.47125"/>
        </c:manualLayout>
      </c:layout>
      <c:pie3DChart>
        <c:varyColors val="1"/>
        <c:ser>
          <c:idx val="0"/>
          <c:order val="0"/>
          <c:tx>
            <c:strRef>
              <c:f>'Лист13Сводная граф'!$A$5</c:f>
              <c:strCache>
                <c:ptCount val="1"/>
                <c:pt idx="0">
                  <c:v>Кредит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'Лист13Сводная граф'!$C$3:$E$3</c:f>
              <c:strCache/>
            </c:strRef>
          </c:cat>
          <c:val>
            <c:numRef>
              <c:f>'Лист13Сводная граф'!$C$5:$E$5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740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 zoomToFit="1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3</xdr:col>
      <xdr:colOff>523875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47625" y="28575"/>
        <a:ext cx="39528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0</xdr:row>
      <xdr:rowOff>47625</xdr:rowOff>
    </xdr:from>
    <xdr:to>
      <xdr:col>7</xdr:col>
      <xdr:colOff>542925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4095750" y="47625"/>
        <a:ext cx="40386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105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105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66675</xdr:rowOff>
    </xdr:from>
    <xdr:to>
      <xdr:col>3</xdr:col>
      <xdr:colOff>28575</xdr:colOff>
      <xdr:row>21</xdr:row>
      <xdr:rowOff>133350</xdr:rowOff>
    </xdr:to>
    <xdr:graphicFrame>
      <xdr:nvGraphicFramePr>
        <xdr:cNvPr id="1" name="Chart 7"/>
        <xdr:cNvGraphicFramePr/>
      </xdr:nvGraphicFramePr>
      <xdr:xfrm>
        <a:off x="152400" y="1190625"/>
        <a:ext cx="38766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</xdr:row>
      <xdr:rowOff>57150</xdr:rowOff>
    </xdr:from>
    <xdr:to>
      <xdr:col>6</xdr:col>
      <xdr:colOff>200025</xdr:colOff>
      <xdr:row>21</xdr:row>
      <xdr:rowOff>104775</xdr:rowOff>
    </xdr:to>
    <xdr:graphicFrame>
      <xdr:nvGraphicFramePr>
        <xdr:cNvPr id="2" name="Chart 8"/>
        <xdr:cNvGraphicFramePr/>
      </xdr:nvGraphicFramePr>
      <xdr:xfrm>
        <a:off x="4076700" y="1181100"/>
        <a:ext cx="4143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7</xdr:row>
      <xdr:rowOff>123825</xdr:rowOff>
    </xdr:from>
    <xdr:to>
      <xdr:col>3</xdr:col>
      <xdr:colOff>419100</xdr:colOff>
      <xdr:row>9</xdr:row>
      <xdr:rowOff>438150</xdr:rowOff>
    </xdr:to>
    <xdr:sp>
      <xdr:nvSpPr>
        <xdr:cNvPr id="1" name="AutoShape 2"/>
        <xdr:cNvSpPr>
          <a:spLocks/>
        </xdr:cNvSpPr>
      </xdr:nvSpPr>
      <xdr:spPr>
        <a:xfrm>
          <a:off x="5229225" y="1762125"/>
          <a:ext cx="16192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Times New Roman"/>
              <a:cs typeface="Times New Roman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20.625" style="0" customWidth="1"/>
    <col min="2" max="2" width="13.50390625" style="0" customWidth="1"/>
    <col min="3" max="3" width="11.50390625" style="0" customWidth="1"/>
    <col min="4" max="4" width="15.125" style="0" customWidth="1"/>
    <col min="5" max="5" width="11.50390625" style="0" customWidth="1"/>
    <col min="6" max="6" width="15.875" style="0" customWidth="1"/>
    <col min="7" max="7" width="13.00390625" style="0" customWidth="1"/>
    <col min="8" max="8" width="15.50390625" style="0" customWidth="1"/>
  </cols>
  <sheetData>
    <row r="1" spans="1:12" ht="16.5" customHeight="1">
      <c r="A1" s="29" t="s">
        <v>27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5.75" customHeight="1">
      <c r="A2" s="10" t="s">
        <v>15</v>
      </c>
      <c r="B2" s="9">
        <v>15450</v>
      </c>
      <c r="D2" s="10" t="s">
        <v>41</v>
      </c>
      <c r="H2" s="2"/>
      <c r="I2" s="1"/>
      <c r="J2" s="1"/>
      <c r="K2" s="1"/>
      <c r="L2" s="1"/>
    </row>
    <row r="3" spans="1:11" ht="17.2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6.5" customHeight="1" thickBot="1" thickTop="1">
      <c r="A4" s="25" t="s">
        <v>10</v>
      </c>
      <c r="B4" s="51" t="s">
        <v>11</v>
      </c>
      <c r="C4" s="26" t="s">
        <v>13</v>
      </c>
      <c r="D4" s="49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0</v>
      </c>
      <c r="B5" s="22"/>
      <c r="C5" s="23"/>
      <c r="D5" s="23"/>
      <c r="E5" s="23"/>
      <c r="F5" s="23"/>
      <c r="G5" s="24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7" t="s">
        <v>1</v>
      </c>
      <c r="B6" s="8"/>
      <c r="C6" s="6"/>
      <c r="D6" s="6"/>
      <c r="E6" s="6"/>
      <c r="F6" s="6"/>
      <c r="G6" s="11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1:21" ht="15.75" thickBot="1">
      <c r="A7" s="7" t="s">
        <v>2</v>
      </c>
      <c r="B7" s="8"/>
      <c r="C7" s="6"/>
      <c r="D7" s="6"/>
      <c r="E7" s="6"/>
      <c r="F7" s="6"/>
      <c r="G7" s="11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5.75" thickBot="1">
      <c r="A8" s="7" t="s">
        <v>3</v>
      </c>
      <c r="B8" s="8"/>
      <c r="C8" s="6"/>
      <c r="D8" s="6"/>
      <c r="E8" s="6"/>
      <c r="F8" s="6"/>
      <c r="G8" s="11"/>
      <c r="H8" s="5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5.75" thickBot="1">
      <c r="A9" s="7" t="s">
        <v>4</v>
      </c>
      <c r="B9" s="8"/>
      <c r="C9" s="6"/>
      <c r="D9" s="6"/>
      <c r="E9" s="6"/>
      <c r="F9" s="6"/>
      <c r="G9" s="11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7" t="s">
        <v>5</v>
      </c>
      <c r="B10" s="8"/>
      <c r="C10" s="6"/>
      <c r="D10" s="6"/>
      <c r="E10" s="6"/>
      <c r="F10" s="6"/>
      <c r="G10" s="11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>
      <c r="A11" s="7" t="s">
        <v>6</v>
      </c>
      <c r="B11" s="8"/>
      <c r="C11" s="6"/>
      <c r="D11" s="6"/>
      <c r="E11" s="6"/>
      <c r="F11" s="6"/>
      <c r="G11" s="11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7" t="s">
        <v>7</v>
      </c>
      <c r="B12" s="8"/>
      <c r="C12" s="6"/>
      <c r="D12" s="6"/>
      <c r="E12" s="6"/>
      <c r="F12" s="6"/>
      <c r="G12" s="11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thickBot="1">
      <c r="A13" s="7" t="s">
        <v>8</v>
      </c>
      <c r="B13" s="8"/>
      <c r="C13" s="6"/>
      <c r="D13" s="6"/>
      <c r="E13" s="6"/>
      <c r="F13" s="6"/>
      <c r="G13" s="11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thickBot="1">
      <c r="A14" s="7" t="s">
        <v>9</v>
      </c>
      <c r="B14" s="8"/>
      <c r="C14" s="6"/>
      <c r="D14" s="6"/>
      <c r="E14" s="6"/>
      <c r="F14" s="6"/>
      <c r="G14" s="11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thickBot="1">
      <c r="A15" s="7" t="s">
        <v>17</v>
      </c>
      <c r="B15" s="8"/>
      <c r="C15" s="6"/>
      <c r="D15" s="6"/>
      <c r="E15" s="6"/>
      <c r="F15" s="6"/>
      <c r="G15" s="11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thickBot="1">
      <c r="A16" s="13" t="s">
        <v>18</v>
      </c>
      <c r="B16" s="14"/>
      <c r="C16" s="15"/>
      <c r="D16" s="15"/>
      <c r="E16" s="15"/>
      <c r="F16" s="15"/>
      <c r="G16" s="16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1:21" ht="18" thickBot="1" thickTop="1">
      <c r="A17" s="17" t="s">
        <v>12</v>
      </c>
      <c r="B17" s="18">
        <f>SUM(B5:B16)</f>
        <v>0</v>
      </c>
      <c r="C17" s="19"/>
      <c r="D17" s="52">
        <v>15450</v>
      </c>
      <c r="E17" s="18">
        <f>SUM(E5:E16)</f>
        <v>0</v>
      </c>
      <c r="F17" s="19"/>
      <c r="G17" s="2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3.5" thickTop="1">
      <c r="B18" s="4"/>
      <c r="D18" s="4"/>
      <c r="E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5" ht="12">
      <c r="B19" s="4"/>
      <c r="E19" s="4"/>
    </row>
  </sheetData>
  <printOptions/>
  <pageMargins left="0.75" right="0.75" top="1" bottom="1" header="0.5" footer="0.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23" sqref="E23"/>
    </sheetView>
  </sheetViews>
  <sheetFormatPr defaultColWidth="9.00390625" defaultRowHeight="12.75"/>
  <cols>
    <col min="1" max="1" width="13.125" style="0" customWidth="1"/>
    <col min="2" max="2" width="20.875" style="0" customWidth="1"/>
    <col min="3" max="3" width="18.50390625" style="0" customWidth="1"/>
    <col min="4" max="4" width="16.375" style="0" customWidth="1"/>
    <col min="5" max="5" width="17.875" style="0" customWidth="1"/>
    <col min="6" max="6" width="18.50390625" style="0" customWidth="1"/>
  </cols>
  <sheetData>
    <row r="1" spans="1:6" ht="19.5">
      <c r="A1" s="31" t="s">
        <v>24</v>
      </c>
      <c r="B1" s="32"/>
      <c r="C1" s="32"/>
      <c r="D1" s="32"/>
      <c r="E1" s="32"/>
      <c r="F1" s="32"/>
    </row>
    <row r="2" ht="12.75" thickBot="1"/>
    <row r="3" spans="1:6" ht="18.75" thickBot="1" thickTop="1">
      <c r="A3" s="33"/>
      <c r="B3" s="34" t="s">
        <v>15</v>
      </c>
      <c r="C3" s="34" t="s">
        <v>13</v>
      </c>
      <c r="D3" s="34" t="s">
        <v>19</v>
      </c>
      <c r="E3" s="34" t="s">
        <v>14</v>
      </c>
      <c r="F3" s="35" t="s">
        <v>23</v>
      </c>
    </row>
    <row r="4" spans="1:6" ht="18.75" thickBot="1" thickTop="1">
      <c r="A4" s="53" t="s">
        <v>21</v>
      </c>
      <c r="B4" s="64">
        <v>15450</v>
      </c>
      <c r="C4" s="55">
        <v>1626.249190121848</v>
      </c>
      <c r="D4" s="54">
        <v>3522.6</v>
      </c>
      <c r="E4" s="55">
        <v>205.98849190121845</v>
      </c>
      <c r="F4" s="65">
        <v>20804.83768202307</v>
      </c>
    </row>
    <row r="5" spans="1:6" ht="18.75" thickBot="1" thickTop="1">
      <c r="A5" s="56" t="s">
        <v>22</v>
      </c>
      <c r="B5" s="64">
        <v>18900</v>
      </c>
      <c r="C5" s="58">
        <v>3937.38</v>
      </c>
      <c r="D5" s="57">
        <v>8618.4</v>
      </c>
      <c r="E5" s="58">
        <v>314.37964394672093</v>
      </c>
      <c r="F5" s="65">
        <v>31770.34</v>
      </c>
    </row>
    <row r="6" ht="12.75" thickTop="1"/>
  </sheetData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B1">
      <selection activeCell="C21" sqref="C21"/>
    </sheetView>
  </sheetViews>
  <sheetFormatPr defaultColWidth="9.00390625" defaultRowHeight="12.75"/>
  <cols>
    <col min="1" max="1" width="30.50390625" style="0" customWidth="1"/>
    <col min="2" max="2" width="20.875" style="0" customWidth="1"/>
    <col min="3" max="3" width="18.50390625" style="0" customWidth="1"/>
    <col min="4" max="4" width="16.375" style="0" customWidth="1"/>
    <col min="5" max="5" width="17.875" style="0" customWidth="1"/>
    <col min="6" max="6" width="18.50390625" style="0" customWidth="1"/>
  </cols>
  <sheetData>
    <row r="1" spans="1:6" ht="19.5">
      <c r="A1" s="31" t="s">
        <v>24</v>
      </c>
      <c r="B1" s="32"/>
      <c r="C1" s="32"/>
      <c r="D1" s="32"/>
      <c r="E1" s="32"/>
      <c r="F1" s="32"/>
    </row>
    <row r="2" ht="12.75" thickBot="1"/>
    <row r="3" spans="1:39" ht="18.75" thickBot="1" thickTop="1">
      <c r="A3" s="40"/>
      <c r="B3" s="41" t="s">
        <v>21</v>
      </c>
      <c r="C3" s="42" t="s">
        <v>22</v>
      </c>
      <c r="D3" s="36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" ht="18" thickBot="1">
      <c r="A4" s="43" t="s">
        <v>15</v>
      </c>
      <c r="B4" s="60">
        <v>15450</v>
      </c>
      <c r="C4" s="61">
        <v>18900</v>
      </c>
    </row>
    <row r="5" spans="1:3" ht="18" thickBot="1">
      <c r="A5" s="43" t="s">
        <v>13</v>
      </c>
      <c r="B5" s="44">
        <v>1626.249190121848</v>
      </c>
      <c r="C5" s="45">
        <v>3937.38</v>
      </c>
    </row>
    <row r="6" spans="1:3" ht="18" thickBot="1">
      <c r="A6" s="43" t="s">
        <v>19</v>
      </c>
      <c r="B6" s="44">
        <v>3522.6</v>
      </c>
      <c r="C6" s="45">
        <v>8618.4</v>
      </c>
    </row>
    <row r="7" spans="1:3" ht="18" thickBot="1">
      <c r="A7" s="43" t="s">
        <v>14</v>
      </c>
      <c r="B7" s="44">
        <v>205.98849190121845</v>
      </c>
      <c r="C7" s="45">
        <v>314.37964394672093</v>
      </c>
    </row>
    <row r="8" spans="1:3" ht="18" thickBot="1">
      <c r="A8" s="43" t="s">
        <v>38</v>
      </c>
      <c r="B8" s="60">
        <f>SUM(B5:B7)</f>
        <v>5354.837682023066</v>
      </c>
      <c r="C8" s="61">
        <f>SUM(C5:C7)</f>
        <v>12870.15964394672</v>
      </c>
    </row>
    <row r="9" spans="1:3" ht="18" thickBot="1">
      <c r="A9" s="46" t="s">
        <v>23</v>
      </c>
      <c r="B9" s="47">
        <v>20804.83768202307</v>
      </c>
      <c r="C9" s="48">
        <v>31770.38</v>
      </c>
    </row>
    <row r="10" spans="2:3" ht="12.75" thickTop="1">
      <c r="B10" s="27"/>
      <c r="C10" s="27"/>
    </row>
    <row r="11" spans="1:3" ht="36.75">
      <c r="A11" s="85" t="s">
        <v>36</v>
      </c>
      <c r="B11" s="87" t="s">
        <v>40</v>
      </c>
      <c r="C11" s="87" t="s">
        <v>40</v>
      </c>
    </row>
    <row r="12" spans="1:3" ht="18">
      <c r="A12" s="86"/>
      <c r="B12" s="27"/>
      <c r="C12" s="27"/>
    </row>
    <row r="13" ht="18">
      <c r="A13" s="84" t="s">
        <v>39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selection activeCell="B18" sqref="B18"/>
    </sheetView>
  </sheetViews>
  <sheetFormatPr defaultColWidth="9.00390625" defaultRowHeight="12.75"/>
  <cols>
    <col min="1" max="1" width="30.50390625" style="0" customWidth="1"/>
    <col min="2" max="2" width="16.125" style="0" bestFit="1" customWidth="1"/>
    <col min="3" max="3" width="18.50390625" style="0" customWidth="1"/>
    <col min="4" max="4" width="16.375" style="0" customWidth="1"/>
    <col min="5" max="5" width="17.875" style="0" customWidth="1"/>
    <col min="6" max="6" width="18.50390625" style="0" customWidth="1"/>
  </cols>
  <sheetData>
    <row r="1" spans="1:6" ht="20.25" thickBot="1">
      <c r="A1" s="31" t="s">
        <v>24</v>
      </c>
      <c r="B1" s="32"/>
      <c r="C1" s="32"/>
      <c r="D1" s="32"/>
      <c r="E1" s="32"/>
      <c r="F1" s="32"/>
    </row>
    <row r="2" spans="1:39" ht="18.75" thickBot="1" thickTop="1">
      <c r="A2" s="40"/>
      <c r="B2" s="41" t="s">
        <v>21</v>
      </c>
      <c r="C2" s="42" t="s">
        <v>22</v>
      </c>
      <c r="D2" s="36"/>
      <c r="E2" s="36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" ht="18" thickBot="1">
      <c r="A3" s="59" t="s">
        <v>15</v>
      </c>
      <c r="B3" s="60">
        <v>15450</v>
      </c>
      <c r="C3" s="61">
        <v>18900</v>
      </c>
    </row>
    <row r="4" spans="1:3" ht="18" thickBot="1">
      <c r="A4" s="43" t="s">
        <v>13</v>
      </c>
      <c r="B4" s="44">
        <v>1626.249190121848</v>
      </c>
      <c r="C4" s="45">
        <v>3937.38</v>
      </c>
    </row>
    <row r="5" spans="1:3" ht="18" thickBot="1">
      <c r="A5" s="43" t="s">
        <v>19</v>
      </c>
      <c r="B5" s="44">
        <v>3522.6</v>
      </c>
      <c r="C5" s="45">
        <v>8618.4</v>
      </c>
    </row>
    <row r="6" spans="1:3" ht="18" thickBot="1">
      <c r="A6" s="43" t="s">
        <v>14</v>
      </c>
      <c r="B6" s="44">
        <v>205.98849190121845</v>
      </c>
      <c r="C6" s="45">
        <v>314.37964394672093</v>
      </c>
    </row>
    <row r="7" spans="1:3" ht="18" thickBot="1">
      <c r="A7" s="59" t="s">
        <v>38</v>
      </c>
      <c r="B7" s="60">
        <f>SUM(B4:B6)</f>
        <v>5354.837682023066</v>
      </c>
      <c r="C7" s="61">
        <f>SUM(C4:C6)</f>
        <v>12870.15964394672</v>
      </c>
    </row>
    <row r="8" spans="1:3" ht="18" thickBot="1">
      <c r="A8" s="46" t="s">
        <v>23</v>
      </c>
      <c r="B8" s="47">
        <v>20804.83768202307</v>
      </c>
      <c r="C8" s="48">
        <v>31770.38</v>
      </c>
    </row>
    <row r="9" spans="2:3" ht="12.75" thickTop="1">
      <c r="B9" s="27"/>
      <c r="C9" s="27"/>
    </row>
    <row r="10" spans="1:3" ht="40.5">
      <c r="A10" s="66" t="s">
        <v>36</v>
      </c>
      <c r="B10" s="67">
        <f>B7/B3*100</f>
        <v>34.65914357296483</v>
      </c>
      <c r="C10" s="67">
        <f>C7/C3*100</f>
        <v>68.09608277220487</v>
      </c>
    </row>
  </sheetData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7" sqref="E17"/>
    </sheetView>
  </sheetViews>
  <sheetFormatPr defaultColWidth="9.00390625" defaultRowHeight="12.75"/>
  <cols>
    <col min="1" max="1" width="13.125" style="0" customWidth="1"/>
    <col min="2" max="2" width="20.875" style="0" customWidth="1"/>
    <col min="3" max="3" width="18.50390625" style="0" customWidth="1"/>
    <col min="4" max="4" width="16.375" style="0" customWidth="1"/>
    <col min="5" max="5" width="17.875" style="0" customWidth="1"/>
    <col min="6" max="6" width="18.50390625" style="0" customWidth="1"/>
  </cols>
  <sheetData>
    <row r="1" spans="1:6" ht="19.5">
      <c r="A1" s="31" t="s">
        <v>24</v>
      </c>
      <c r="B1" s="32"/>
      <c r="C1" s="32"/>
      <c r="D1" s="32"/>
      <c r="E1" s="32"/>
      <c r="F1" s="32"/>
    </row>
    <row r="2" ht="12.75" thickBot="1"/>
    <row r="3" spans="1:6" ht="18.75" thickBot="1" thickTop="1">
      <c r="A3" s="33"/>
      <c r="B3" s="34" t="s">
        <v>15</v>
      </c>
      <c r="C3" s="34" t="s">
        <v>13</v>
      </c>
      <c r="D3" s="34" t="s">
        <v>19</v>
      </c>
      <c r="E3" s="34" t="s">
        <v>14</v>
      </c>
      <c r="F3" s="35" t="s">
        <v>23</v>
      </c>
    </row>
    <row r="4" spans="1:6" ht="18.75" thickBot="1" thickTop="1">
      <c r="A4" s="53" t="s">
        <v>21</v>
      </c>
      <c r="B4" s="54">
        <v>15450</v>
      </c>
      <c r="C4" s="55">
        <v>1626.249190121848</v>
      </c>
      <c r="D4" s="54">
        <v>3522.6</v>
      </c>
      <c r="E4" s="55">
        <v>205.98849190121845</v>
      </c>
      <c r="F4" s="65">
        <v>20804.83768202307</v>
      </c>
    </row>
    <row r="5" spans="1:6" ht="18.75" thickBot="1" thickTop="1">
      <c r="A5" s="56" t="s">
        <v>22</v>
      </c>
      <c r="B5" s="57">
        <v>18900</v>
      </c>
      <c r="C5" s="58">
        <v>3919.56439467211</v>
      </c>
      <c r="D5" s="57">
        <v>8618.4</v>
      </c>
      <c r="E5" s="58">
        <v>314.37964394672093</v>
      </c>
      <c r="F5" s="65">
        <v>31752.344038618838</v>
      </c>
    </row>
    <row r="6" ht="12.75" thickTop="1"/>
    <row r="7" ht="19.5">
      <c r="A7" s="63" t="s">
        <v>33</v>
      </c>
    </row>
    <row r="11" ht="12">
      <c r="C11" s="62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D2" sqref="D2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11.50390625" style="0" customWidth="1"/>
    <col min="4" max="4" width="13.50390625" style="0" customWidth="1"/>
    <col min="5" max="5" width="11.625" style="0" customWidth="1"/>
    <col min="6" max="6" width="12.875" style="0" customWidth="1"/>
    <col min="7" max="7" width="13.00390625" style="0" customWidth="1"/>
    <col min="8" max="8" width="15.50390625" style="0" customWidth="1"/>
  </cols>
  <sheetData>
    <row r="1" spans="1:12" ht="17.25" customHeight="1">
      <c r="A1" s="29" t="s">
        <v>20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4.25" customHeight="1">
      <c r="A2" s="10" t="s">
        <v>15</v>
      </c>
      <c r="B2" s="9">
        <v>18900</v>
      </c>
      <c r="D2" s="10" t="s">
        <v>42</v>
      </c>
      <c r="H2" s="2"/>
      <c r="I2" s="1"/>
      <c r="J2" s="1"/>
      <c r="K2" s="1"/>
      <c r="L2" s="1"/>
    </row>
    <row r="3" spans="1:11" ht="18.7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5.75" customHeight="1" thickBot="1" thickTop="1">
      <c r="A4" s="25" t="s">
        <v>10</v>
      </c>
      <c r="B4" s="51" t="s">
        <v>11</v>
      </c>
      <c r="C4" s="26" t="s">
        <v>13</v>
      </c>
      <c r="D4" s="51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1</v>
      </c>
      <c r="B5" s="22"/>
      <c r="C5" s="23"/>
      <c r="D5" s="23"/>
      <c r="E5" s="23"/>
      <c r="F5" s="23"/>
      <c r="G5" s="24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21" t="s">
        <v>2</v>
      </c>
      <c r="B6" s="22"/>
      <c r="C6" s="6"/>
      <c r="D6" s="6"/>
      <c r="E6" s="23"/>
      <c r="F6" s="6"/>
      <c r="G6" s="11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1:21" ht="15.75" thickBot="1">
      <c r="A7" s="21" t="s">
        <v>3</v>
      </c>
      <c r="B7" s="22"/>
      <c r="C7" s="6"/>
      <c r="D7" s="6"/>
      <c r="E7" s="23"/>
      <c r="F7" s="6"/>
      <c r="G7" s="11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5.75" thickBot="1">
      <c r="A8" s="21" t="s">
        <v>4</v>
      </c>
      <c r="B8" s="22"/>
      <c r="C8" s="6"/>
      <c r="D8" s="6"/>
      <c r="E8" s="23"/>
      <c r="F8" s="6"/>
      <c r="G8" s="11"/>
      <c r="H8" s="5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5.75" thickBot="1">
      <c r="A9" s="21" t="s">
        <v>5</v>
      </c>
      <c r="B9" s="22"/>
      <c r="C9" s="6"/>
      <c r="D9" s="6"/>
      <c r="E9" s="23"/>
      <c r="F9" s="6"/>
      <c r="G9" s="11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21" t="s">
        <v>6</v>
      </c>
      <c r="B10" s="22"/>
      <c r="C10" s="6"/>
      <c r="D10" s="6"/>
      <c r="E10" s="23"/>
      <c r="F10" s="6"/>
      <c r="G10" s="11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>
      <c r="A11" s="21" t="s">
        <v>7</v>
      </c>
      <c r="B11" s="22"/>
      <c r="C11" s="6"/>
      <c r="D11" s="6"/>
      <c r="E11" s="23"/>
      <c r="F11" s="6"/>
      <c r="G11" s="11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21" t="s">
        <v>8</v>
      </c>
      <c r="B12" s="22"/>
      <c r="C12" s="6"/>
      <c r="D12" s="6"/>
      <c r="E12" s="23"/>
      <c r="F12" s="6"/>
      <c r="G12" s="11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thickBot="1">
      <c r="A13" s="21" t="s">
        <v>9</v>
      </c>
      <c r="B13" s="22"/>
      <c r="C13" s="6"/>
      <c r="D13" s="6"/>
      <c r="E13" s="23"/>
      <c r="F13" s="6"/>
      <c r="G13" s="11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thickBot="1">
      <c r="A14" s="21" t="s">
        <v>17</v>
      </c>
      <c r="B14" s="22"/>
      <c r="C14" s="6"/>
      <c r="D14" s="6"/>
      <c r="E14" s="23"/>
      <c r="F14" s="6"/>
      <c r="G14" s="11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thickBot="1">
      <c r="A15" s="21" t="s">
        <v>18</v>
      </c>
      <c r="B15" s="22"/>
      <c r="C15" s="6"/>
      <c r="D15" s="6"/>
      <c r="E15" s="23"/>
      <c r="F15" s="6"/>
      <c r="G15" s="11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thickBot="1">
      <c r="A16" s="21" t="s">
        <v>0</v>
      </c>
      <c r="B16" s="22"/>
      <c r="C16" s="15"/>
      <c r="D16" s="6"/>
      <c r="E16" s="23"/>
      <c r="F16" s="15"/>
      <c r="G16" s="16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1:21" ht="15.75" thickBot="1">
      <c r="A17" s="21" t="s">
        <v>1</v>
      </c>
      <c r="B17" s="22"/>
      <c r="C17" s="15"/>
      <c r="D17" s="6"/>
      <c r="E17" s="23"/>
      <c r="F17" s="15"/>
      <c r="G17" s="16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4"/>
      <c r="T17" s="4"/>
      <c r="U17" s="4"/>
    </row>
    <row r="18" spans="1:21" ht="15.75" thickBot="1">
      <c r="A18" s="21" t="s">
        <v>2</v>
      </c>
      <c r="B18" s="22"/>
      <c r="C18" s="15"/>
      <c r="D18" s="6"/>
      <c r="E18" s="23"/>
      <c r="F18" s="15"/>
      <c r="G18" s="16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ht="15.75" thickBot="1">
      <c r="A19" s="21" t="s">
        <v>3</v>
      </c>
      <c r="B19" s="22"/>
      <c r="C19" s="15"/>
      <c r="D19" s="6"/>
      <c r="E19" s="23"/>
      <c r="F19" s="15"/>
      <c r="G19" s="16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ht="15.75" thickBot="1">
      <c r="A20" s="21" t="s">
        <v>4</v>
      </c>
      <c r="B20" s="22"/>
      <c r="C20" s="15"/>
      <c r="D20" s="6"/>
      <c r="E20" s="23"/>
      <c r="F20" s="15"/>
      <c r="G20" s="16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thickBot="1">
      <c r="A21" s="21" t="s">
        <v>5</v>
      </c>
      <c r="B21" s="22"/>
      <c r="C21" s="15"/>
      <c r="D21" s="6"/>
      <c r="E21" s="23"/>
      <c r="F21" s="15"/>
      <c r="G21" s="16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thickBot="1">
      <c r="A22" s="21" t="s">
        <v>6</v>
      </c>
      <c r="B22" s="22"/>
      <c r="C22" s="15"/>
      <c r="D22" s="6"/>
      <c r="E22" s="23"/>
      <c r="F22" s="15"/>
      <c r="G22" s="16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thickBot="1">
      <c r="A23" s="21" t="s">
        <v>7</v>
      </c>
      <c r="B23" s="22"/>
      <c r="C23" s="15"/>
      <c r="D23" s="6"/>
      <c r="E23" s="23"/>
      <c r="F23" s="15"/>
      <c r="G23" s="16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thickBot="1">
      <c r="A24" s="21" t="s">
        <v>8</v>
      </c>
      <c r="B24" s="22"/>
      <c r="C24" s="15"/>
      <c r="D24" s="6"/>
      <c r="E24" s="23"/>
      <c r="F24" s="15"/>
      <c r="G24" s="16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thickBot="1">
      <c r="A25" s="21" t="s">
        <v>9</v>
      </c>
      <c r="B25" s="22"/>
      <c r="C25" s="15"/>
      <c r="D25" s="6"/>
      <c r="E25" s="23"/>
      <c r="F25" s="15"/>
      <c r="G25" s="16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thickBot="1">
      <c r="A26" s="21" t="s">
        <v>17</v>
      </c>
      <c r="B26" s="22"/>
      <c r="C26" s="15"/>
      <c r="D26" s="6"/>
      <c r="E26" s="23"/>
      <c r="F26" s="15"/>
      <c r="G26" s="16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thickBot="1">
      <c r="A27" s="21" t="s">
        <v>18</v>
      </c>
      <c r="B27" s="22"/>
      <c r="C27" s="15"/>
      <c r="D27" s="6"/>
      <c r="E27" s="23"/>
      <c r="F27" s="15"/>
      <c r="G27" s="16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thickBot="1">
      <c r="A28" s="21" t="s">
        <v>0</v>
      </c>
      <c r="B28" s="22"/>
      <c r="C28" s="15"/>
      <c r="D28" s="28"/>
      <c r="E28" s="23"/>
      <c r="F28" s="15"/>
      <c r="G28" s="16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4"/>
      <c r="T28" s="4"/>
      <c r="U28" s="4"/>
    </row>
    <row r="29" spans="1:21" ht="18" thickBot="1" thickTop="1">
      <c r="A29" s="17" t="s">
        <v>12</v>
      </c>
      <c r="B29" s="18">
        <f>SUM(B5:B28)</f>
        <v>0</v>
      </c>
      <c r="C29" s="19"/>
      <c r="D29" s="18">
        <v>18900</v>
      </c>
      <c r="E29" s="18">
        <f>SUM(E5:E28)</f>
        <v>0</v>
      </c>
      <c r="F29" s="19"/>
      <c r="G29" s="2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3.5" thickTop="1">
      <c r="B30" s="4"/>
      <c r="D30" s="4"/>
      <c r="E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5" ht="12">
      <c r="B31" s="4"/>
      <c r="E31" s="4"/>
    </row>
  </sheetData>
  <printOptions/>
  <pageMargins left="0.75" right="0.75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D2" sqref="D2"/>
    </sheetView>
  </sheetViews>
  <sheetFormatPr defaultColWidth="9.00390625" defaultRowHeight="12.75"/>
  <cols>
    <col min="1" max="1" width="20.625" style="0" customWidth="1"/>
    <col min="2" max="2" width="13.50390625" style="0" customWidth="1"/>
    <col min="3" max="3" width="11.50390625" style="0" customWidth="1"/>
    <col min="4" max="4" width="13.625" style="0" customWidth="1"/>
    <col min="5" max="5" width="11.50390625" style="0" customWidth="1"/>
    <col min="6" max="6" width="15.875" style="0" customWidth="1"/>
    <col min="7" max="7" width="13.00390625" style="0" customWidth="1"/>
    <col min="8" max="8" width="15.50390625" style="0" customWidth="1"/>
  </cols>
  <sheetData>
    <row r="1" spans="1:12" ht="16.5" customHeight="1">
      <c r="A1" s="29" t="s">
        <v>27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5" customHeight="1">
      <c r="A2" s="10" t="s">
        <v>15</v>
      </c>
      <c r="B2" s="9">
        <v>15450</v>
      </c>
      <c r="D2" s="10" t="s">
        <v>41</v>
      </c>
      <c r="H2" s="2"/>
      <c r="I2" s="1"/>
      <c r="J2" s="1"/>
      <c r="K2" s="1"/>
      <c r="L2" s="1"/>
    </row>
    <row r="3" spans="1:11" ht="19.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6.5" customHeight="1" thickBot="1" thickTop="1">
      <c r="A4" s="25" t="s">
        <v>10</v>
      </c>
      <c r="B4" s="51" t="s">
        <v>11</v>
      </c>
      <c r="C4" s="26" t="s">
        <v>13</v>
      </c>
      <c r="D4" s="49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0</v>
      </c>
      <c r="B5" s="22">
        <v>1720</v>
      </c>
      <c r="C5" s="23">
        <f>(0.19/365*$B$2)*30</f>
        <v>241.27397260273972</v>
      </c>
      <c r="D5" s="23">
        <f aca="true" t="shared" si="0" ref="D5:D15">B5-C5-E5</f>
        <v>1185.1760273972602</v>
      </c>
      <c r="E5" s="23">
        <f aca="true" t="shared" si="1" ref="E5:E16">0.019*$B$2</f>
        <v>293.55</v>
      </c>
      <c r="F5" s="23">
        <f aca="true" t="shared" si="2" ref="F5:F16">B5*0.01</f>
        <v>17.2</v>
      </c>
      <c r="G5" s="24">
        <f aca="true" t="shared" si="3" ref="G5:G16">B5+F5</f>
        <v>1737.2</v>
      </c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7" t="s">
        <v>1</v>
      </c>
      <c r="B6" s="8">
        <v>1720</v>
      </c>
      <c r="C6" s="6">
        <f>($B$2-$D$5)*(0.19/365)*31</f>
        <v>230.19126903734283</v>
      </c>
      <c r="D6" s="6">
        <f t="shared" si="0"/>
        <v>1196.2587309626572</v>
      </c>
      <c r="E6" s="6">
        <f t="shared" si="1"/>
        <v>293.55</v>
      </c>
      <c r="F6" s="6">
        <f t="shared" si="2"/>
        <v>17.2</v>
      </c>
      <c r="G6" s="11">
        <f t="shared" si="3"/>
        <v>1737.2</v>
      </c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1:21" ht="15.75" thickBot="1">
      <c r="A7" s="7" t="s">
        <v>2</v>
      </c>
      <c r="B7" s="8">
        <v>1720</v>
      </c>
      <c r="C7" s="6">
        <f>($B$2-$D$5-$D$6)*(0.19/365)*31</f>
        <v>210.88725828290433</v>
      </c>
      <c r="D7" s="6">
        <f t="shared" si="0"/>
        <v>1215.5627417170956</v>
      </c>
      <c r="E7" s="6">
        <f t="shared" si="1"/>
        <v>293.55</v>
      </c>
      <c r="F7" s="6">
        <f t="shared" si="2"/>
        <v>17.2</v>
      </c>
      <c r="G7" s="11">
        <f t="shared" si="3"/>
        <v>1737.2</v>
      </c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5.75" thickBot="1">
      <c r="A8" s="7" t="s">
        <v>3</v>
      </c>
      <c r="B8" s="8">
        <v>1720</v>
      </c>
      <c r="C8" s="6">
        <f>($B$2-$D$5-$D$6-$D$7)*(0.19/365)*28</f>
        <v>172.761570683809</v>
      </c>
      <c r="D8" s="6">
        <f t="shared" si="0"/>
        <v>1253.688429316191</v>
      </c>
      <c r="E8" s="6">
        <f t="shared" si="1"/>
        <v>293.55</v>
      </c>
      <c r="F8" s="6">
        <f t="shared" si="2"/>
        <v>17.2</v>
      </c>
      <c r="G8" s="11">
        <f t="shared" si="3"/>
        <v>1737.2</v>
      </c>
      <c r="H8" s="5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5.75" thickBot="1">
      <c r="A9" s="7" t="s">
        <v>4</v>
      </c>
      <c r="B9" s="8">
        <v>1720</v>
      </c>
      <c r="C9" s="6">
        <f>($B$2-$D$5-$D$6-$D$7-$D$8)*(0.19/365)*31</f>
        <v>171.04098596129867</v>
      </c>
      <c r="D9" s="6">
        <f t="shared" si="0"/>
        <v>1255.4090140387013</v>
      </c>
      <c r="E9" s="6">
        <f t="shared" si="1"/>
        <v>293.55</v>
      </c>
      <c r="F9" s="6">
        <f t="shared" si="2"/>
        <v>17.2</v>
      </c>
      <c r="G9" s="11">
        <f t="shared" si="3"/>
        <v>1737.2</v>
      </c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7" t="s">
        <v>5</v>
      </c>
      <c r="B10" s="8">
        <v>1720</v>
      </c>
      <c r="C10" s="6">
        <f>($B$2-$D$5-$D$6-$D$7-$D$8-$D$9)*(0.19/365)*30</f>
        <v>145.9185173217483</v>
      </c>
      <c r="D10" s="6">
        <f t="shared" si="0"/>
        <v>1280.5314826782517</v>
      </c>
      <c r="E10" s="6">
        <f t="shared" si="1"/>
        <v>293.55</v>
      </c>
      <c r="F10" s="6">
        <f t="shared" si="2"/>
        <v>17.2</v>
      </c>
      <c r="G10" s="11">
        <f t="shared" si="3"/>
        <v>1737.2</v>
      </c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>
      <c r="A11" s="7" t="s">
        <v>6</v>
      </c>
      <c r="B11" s="8">
        <v>1720</v>
      </c>
      <c r="C11" s="6">
        <f>($B$2-$D$5-$D$6-$D$7-$D$8-$D$9-$D$10)*(0.19/365)*31</f>
        <v>130.1185489046881</v>
      </c>
      <c r="D11" s="6">
        <f t="shared" si="0"/>
        <v>1296.3314510953119</v>
      </c>
      <c r="E11" s="6">
        <f t="shared" si="1"/>
        <v>293.55</v>
      </c>
      <c r="F11" s="6">
        <f t="shared" si="2"/>
        <v>17.2</v>
      </c>
      <c r="G11" s="11">
        <f t="shared" si="3"/>
        <v>1737.2</v>
      </c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7" t="s">
        <v>7</v>
      </c>
      <c r="B12" s="8">
        <v>1720</v>
      </c>
      <c r="C12" s="6">
        <f>($B$2-$D$5-$D$6-$D$7-$D$8-$D$9-$D$10-$D$11)*(0.19/365)*30</f>
        <v>105.67709616418854</v>
      </c>
      <c r="D12" s="6">
        <f t="shared" si="0"/>
        <v>1320.7729038358116</v>
      </c>
      <c r="E12" s="6">
        <f t="shared" si="1"/>
        <v>293.55</v>
      </c>
      <c r="F12" s="6">
        <f t="shared" si="2"/>
        <v>17.2</v>
      </c>
      <c r="G12" s="11">
        <f t="shared" si="3"/>
        <v>1737.2</v>
      </c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thickBot="1">
      <c r="A13" s="7" t="s">
        <v>8</v>
      </c>
      <c r="B13" s="8">
        <v>1720</v>
      </c>
      <c r="C13" s="6">
        <f>($B$2-$D$5-$D$6-$D$7-$D$8-$D$9-$D$10-$D$11-$D$12)*(0.19/365)*31</f>
        <v>87.88637177990917</v>
      </c>
      <c r="D13" s="6">
        <f t="shared" si="0"/>
        <v>1338.5636282200908</v>
      </c>
      <c r="E13" s="6">
        <f t="shared" si="1"/>
        <v>293.55</v>
      </c>
      <c r="F13" s="6">
        <f t="shared" si="2"/>
        <v>17.2</v>
      </c>
      <c r="G13" s="11">
        <f t="shared" si="3"/>
        <v>1737.2</v>
      </c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thickBot="1">
      <c r="A14" s="7" t="s">
        <v>9</v>
      </c>
      <c r="B14" s="8">
        <v>1720</v>
      </c>
      <c r="C14" s="6">
        <f>($B$2-$D$5-$D$6-$D$7-$D$8-$D$9-$D$10-$D$11-$D$12-$D$13)*(0.19/365)*31</f>
        <v>66.28598884780963</v>
      </c>
      <c r="D14" s="6">
        <f t="shared" si="0"/>
        <v>1360.1640111521904</v>
      </c>
      <c r="E14" s="6">
        <f t="shared" si="1"/>
        <v>293.55</v>
      </c>
      <c r="F14" s="6">
        <f t="shared" si="2"/>
        <v>17.2</v>
      </c>
      <c r="G14" s="11">
        <f t="shared" si="3"/>
        <v>1737.2</v>
      </c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thickBot="1">
      <c r="A15" s="7" t="s">
        <v>17</v>
      </c>
      <c r="B15" s="8">
        <v>1720</v>
      </c>
      <c r="C15" s="6">
        <f>($B$2-$D$5-$D$6-$D$7-$D$8-$D$9-$D$10-$D$11-$D$12-$D$13-$D$14)*(0.19/365)*30</f>
        <v>42.906813708610116</v>
      </c>
      <c r="D15" s="6">
        <f t="shared" si="0"/>
        <v>1383.54318629139</v>
      </c>
      <c r="E15" s="6">
        <f t="shared" si="1"/>
        <v>293.55</v>
      </c>
      <c r="F15" s="6">
        <f t="shared" si="2"/>
        <v>17.2</v>
      </c>
      <c r="G15" s="11">
        <f t="shared" si="3"/>
        <v>1737.2</v>
      </c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thickBot="1">
      <c r="A16" s="13" t="s">
        <v>18</v>
      </c>
      <c r="B16" s="14">
        <f>D16+E16+C16</f>
        <v>1678.8491901218483</v>
      </c>
      <c r="C16" s="15">
        <f>($B$2-$D$5-$D$6-$D$7-$D$8-$D$9-$D$10-$D$11-$D$12-$D$13-$D$14-$D$15)*(0.19/365)*30</f>
        <v>21.30079682679937</v>
      </c>
      <c r="D16" s="15">
        <f>B2-SUM(D5:D15)</f>
        <v>1363.998393295049</v>
      </c>
      <c r="E16" s="15">
        <f t="shared" si="1"/>
        <v>293.55</v>
      </c>
      <c r="F16" s="15">
        <f t="shared" si="2"/>
        <v>16.788491901218485</v>
      </c>
      <c r="G16" s="16">
        <f t="shared" si="3"/>
        <v>1695.6376820230669</v>
      </c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1:21" ht="18" thickBot="1" thickTop="1">
      <c r="A17" s="17" t="s">
        <v>12</v>
      </c>
      <c r="B17" s="18">
        <f>SUM(B5:B16)</f>
        <v>20598.849190121848</v>
      </c>
      <c r="C17" s="19">
        <f>SUM(C5:C16)</f>
        <v>1626.249190121848</v>
      </c>
      <c r="D17" s="18">
        <v>15450</v>
      </c>
      <c r="E17" s="18">
        <f>SUM(E5:E16)</f>
        <v>3522.600000000001</v>
      </c>
      <c r="F17" s="19">
        <f>SUM(F5:F16)</f>
        <v>205.98849190121845</v>
      </c>
      <c r="G17" s="20">
        <f>SUM(G5:G16)</f>
        <v>20804.83768202307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3.5" thickTop="1">
      <c r="B18" s="4"/>
      <c r="D18" s="4"/>
      <c r="E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5" ht="12">
      <c r="B19" s="4"/>
      <c r="E19" s="4"/>
    </row>
  </sheetData>
  <printOptions/>
  <pageMargins left="0.75" right="0.75" top="1" bottom="1" header="0.5" footer="0.5"/>
  <pageSetup fitToHeight="2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D2" sqref="D2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11.50390625" style="0" customWidth="1"/>
    <col min="4" max="4" width="13.50390625" style="0" customWidth="1"/>
    <col min="5" max="5" width="11.625" style="0" customWidth="1"/>
    <col min="6" max="6" width="12.875" style="0" customWidth="1"/>
    <col min="7" max="7" width="13.00390625" style="0" customWidth="1"/>
    <col min="8" max="8" width="15.50390625" style="0" customWidth="1"/>
  </cols>
  <sheetData>
    <row r="1" spans="1:12" ht="19.5">
      <c r="A1" s="29" t="s">
        <v>20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6.5" customHeight="1">
      <c r="A2" s="10" t="s">
        <v>15</v>
      </c>
      <c r="B2" s="9">
        <v>18900</v>
      </c>
      <c r="D2" s="10" t="s">
        <v>42</v>
      </c>
      <c r="H2" s="2"/>
      <c r="I2" s="1"/>
      <c r="J2" s="1"/>
      <c r="K2" s="1"/>
      <c r="L2" s="1"/>
    </row>
    <row r="3" spans="1:11" ht="18.7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5.75" customHeight="1" thickBot="1" thickTop="1">
      <c r="A4" s="25" t="s">
        <v>10</v>
      </c>
      <c r="B4" s="51" t="s">
        <v>11</v>
      </c>
      <c r="C4" s="26" t="s">
        <v>13</v>
      </c>
      <c r="D4" s="51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1</v>
      </c>
      <c r="B5" s="22">
        <v>1320</v>
      </c>
      <c r="C5" s="23">
        <f>(0.19/365*$B$2)*31</f>
        <v>304.9890410958904</v>
      </c>
      <c r="D5" s="23">
        <f aca="true" t="shared" si="0" ref="D5:D27">B5-C5-E5</f>
        <v>655.9109589041096</v>
      </c>
      <c r="E5" s="23">
        <v>359.1</v>
      </c>
      <c r="F5" s="23">
        <f aca="true" t="shared" si="1" ref="F5:F15">B5*0.01</f>
        <v>13.200000000000001</v>
      </c>
      <c r="G5" s="24">
        <f aca="true" t="shared" si="2" ref="G5:G15">B5+F5</f>
        <v>1333.2</v>
      </c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21" t="s">
        <v>2</v>
      </c>
      <c r="B6" s="22">
        <v>1320</v>
      </c>
      <c r="C6" s="6">
        <f>($B$2-$D$5)*(0.19/365)*31</f>
        <v>294.4046149371364</v>
      </c>
      <c r="D6" s="6">
        <f t="shared" si="0"/>
        <v>666.4953850628636</v>
      </c>
      <c r="E6" s="23">
        <v>359.1</v>
      </c>
      <c r="F6" s="6">
        <f t="shared" si="1"/>
        <v>13.200000000000001</v>
      </c>
      <c r="G6" s="11">
        <f t="shared" si="2"/>
        <v>1333.2</v>
      </c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1:21" ht="15.75" thickBot="1">
      <c r="A7" s="21" t="s">
        <v>3</v>
      </c>
      <c r="B7" s="22">
        <v>1320</v>
      </c>
      <c r="C7" s="6">
        <f>($B$2-$D$5-$D$6)*(0.19/365)*28</f>
        <v>256.19944726053615</v>
      </c>
      <c r="D7" s="6">
        <f t="shared" si="0"/>
        <v>704.7005527394639</v>
      </c>
      <c r="E7" s="23">
        <v>359.1</v>
      </c>
      <c r="F7" s="6">
        <f t="shared" si="1"/>
        <v>13.200000000000001</v>
      </c>
      <c r="G7" s="11">
        <f t="shared" si="2"/>
        <v>1333.2</v>
      </c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5.75" thickBot="1">
      <c r="A8" s="21" t="s">
        <v>4</v>
      </c>
      <c r="B8" s="22">
        <v>1320</v>
      </c>
      <c r="C8" s="6">
        <f>($B$2-$D$5-$D$6-$D$7)*(0.19/365)*31</f>
        <v>272.2776448723263</v>
      </c>
      <c r="D8" s="6">
        <f t="shared" si="0"/>
        <v>688.6223551276738</v>
      </c>
      <c r="E8" s="23">
        <v>359.1</v>
      </c>
      <c r="F8" s="6">
        <f t="shared" si="1"/>
        <v>13.200000000000001</v>
      </c>
      <c r="G8" s="11">
        <f t="shared" si="2"/>
        <v>1333.2</v>
      </c>
      <c r="H8" s="5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5.75" thickBot="1">
      <c r="A9" s="21" t="s">
        <v>5</v>
      </c>
      <c r="B9" s="22">
        <v>1320</v>
      </c>
      <c r="C9" s="6">
        <f>($B$2-$D$5-$D$6-$D$7-$D$8)*(0.19/365)*30</f>
        <v>252.74066647820698</v>
      </c>
      <c r="D9" s="6">
        <f t="shared" si="0"/>
        <v>708.159333521793</v>
      </c>
      <c r="E9" s="23">
        <v>359.1</v>
      </c>
      <c r="F9" s="6">
        <f t="shared" si="1"/>
        <v>13.200000000000001</v>
      </c>
      <c r="G9" s="11">
        <f t="shared" si="2"/>
        <v>1333.2</v>
      </c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21" t="s">
        <v>6</v>
      </c>
      <c r="B10" s="22">
        <v>1320</v>
      </c>
      <c r="C10" s="6">
        <f>($B$2-$D$5-$D$6-$D$7-$D$8-$D$9)*(0.19/365)*31</f>
        <v>249.7377978965855</v>
      </c>
      <c r="D10" s="6">
        <f t="shared" si="0"/>
        <v>711.1622021034144</v>
      </c>
      <c r="E10" s="23">
        <v>359.1</v>
      </c>
      <c r="F10" s="6">
        <f t="shared" si="1"/>
        <v>13.200000000000001</v>
      </c>
      <c r="G10" s="11">
        <f t="shared" si="2"/>
        <v>1333.2</v>
      </c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>
      <c r="A11" s="21" t="s">
        <v>7</v>
      </c>
      <c r="B11" s="22">
        <v>1320</v>
      </c>
      <c r="C11" s="6">
        <f>($B$2-$D$5-$D$6-$D$7-$D$8-$D$9-$D$10)*(0.19/365)*30</f>
        <v>230.57591920953936</v>
      </c>
      <c r="D11" s="6">
        <f t="shared" si="0"/>
        <v>730.3240807904607</v>
      </c>
      <c r="E11" s="23">
        <v>359.1</v>
      </c>
      <c r="F11" s="6">
        <f t="shared" si="1"/>
        <v>13.200000000000001</v>
      </c>
      <c r="G11" s="11">
        <f t="shared" si="2"/>
        <v>1333.2</v>
      </c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21" t="s">
        <v>8</v>
      </c>
      <c r="B12" s="22">
        <v>1320</v>
      </c>
      <c r="C12" s="6">
        <f>($B$2-$D$5-$D$6-$D$7-$D$8-$D$9-$D$10-$D$11)*(0.19/365)*31</f>
        <v>226.4765534959145</v>
      </c>
      <c r="D12" s="6">
        <f t="shared" si="0"/>
        <v>734.4234465040855</v>
      </c>
      <c r="E12" s="23">
        <v>359.1</v>
      </c>
      <c r="F12" s="6">
        <f t="shared" si="1"/>
        <v>13.200000000000001</v>
      </c>
      <c r="G12" s="11">
        <f t="shared" si="2"/>
        <v>1333.2</v>
      </c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thickBot="1">
      <c r="A13" s="21" t="s">
        <v>9</v>
      </c>
      <c r="B13" s="22">
        <v>1320</v>
      </c>
      <c r="C13" s="6">
        <f>($B$2-$D$5-$D$6-$D$7-$D$8-$D$9-$D$10-$D$11-$D$12)*(0.19/365)*31</f>
        <v>214.6251724002732</v>
      </c>
      <c r="D13" s="6">
        <f t="shared" si="0"/>
        <v>746.2748275997268</v>
      </c>
      <c r="E13" s="23">
        <v>359.1</v>
      </c>
      <c r="F13" s="6">
        <f t="shared" si="1"/>
        <v>13.200000000000001</v>
      </c>
      <c r="G13" s="11">
        <f t="shared" si="2"/>
        <v>1333.2</v>
      </c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thickBot="1">
      <c r="A14" s="21" t="s">
        <v>17</v>
      </c>
      <c r="B14" s="22">
        <v>1320</v>
      </c>
      <c r="C14" s="6">
        <f>($B$2-$D$5-$D$6-$D$7-$D$8-$D$9-$D$10-$D$11-$D$12-$D$13)*(0.19/365)*30</f>
        <v>196.0476249002315</v>
      </c>
      <c r="D14" s="6">
        <f t="shared" si="0"/>
        <v>764.8523750997684</v>
      </c>
      <c r="E14" s="23">
        <v>359.1</v>
      </c>
      <c r="F14" s="6">
        <f t="shared" si="1"/>
        <v>13.200000000000001</v>
      </c>
      <c r="G14" s="11">
        <f t="shared" si="2"/>
        <v>1333.2</v>
      </c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thickBot="1">
      <c r="A15" s="21" t="s">
        <v>18</v>
      </c>
      <c r="B15" s="22">
        <v>1320</v>
      </c>
      <c r="C15" s="6">
        <f>($B$2-$D$5-$D$6-$D$7-$D$8-$D$9-$D$10-$D$11-$D$12-$D$13-$D$14)*(0.19/365)*31</f>
        <v>190.2401334306841</v>
      </c>
      <c r="D15" s="6">
        <f t="shared" si="0"/>
        <v>770.6598665693158</v>
      </c>
      <c r="E15" s="23">
        <v>359.1</v>
      </c>
      <c r="F15" s="6">
        <f t="shared" si="1"/>
        <v>13.200000000000001</v>
      </c>
      <c r="G15" s="11">
        <f t="shared" si="2"/>
        <v>1333.2</v>
      </c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thickBot="1">
      <c r="A16" s="21" t="s">
        <v>0</v>
      </c>
      <c r="B16" s="22">
        <v>1320</v>
      </c>
      <c r="C16" s="15">
        <f>($B$2-$D$5-$D$6-$D$7-$D$8-$D$9-$D$10-$D$11-$D$12-$D$13-$D$14-$D$15)*(0.19/365)*30</f>
        <v>172.0683926330705</v>
      </c>
      <c r="D16" s="6">
        <f t="shared" si="0"/>
        <v>788.8316073669295</v>
      </c>
      <c r="E16" s="23">
        <v>359.1</v>
      </c>
      <c r="F16" s="15">
        <f>B16*0.01</f>
        <v>13.200000000000001</v>
      </c>
      <c r="G16" s="16">
        <f>B16+F16</f>
        <v>1333.2</v>
      </c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1:21" ht="15.75" thickBot="1">
      <c r="A17" s="21" t="s">
        <v>1</v>
      </c>
      <c r="B17" s="22">
        <v>1320</v>
      </c>
      <c r="C17" s="15">
        <f>($B$2-$D$5-$D$6-$D$7-$D$8-$D$9-$D$10-$D$11-$D$12-$D$13-$D$14-$D$15-$D$16)*(0.19/365)*31</f>
        <v>165.07464087867177</v>
      </c>
      <c r="D17" s="6">
        <f t="shared" si="0"/>
        <v>795.8253591213282</v>
      </c>
      <c r="E17" s="23">
        <v>359.1</v>
      </c>
      <c r="F17" s="15">
        <f aca="true" t="shared" si="3" ref="F17:F28">B17*0.01</f>
        <v>13.200000000000001</v>
      </c>
      <c r="G17" s="16">
        <f aca="true" t="shared" si="4" ref="G17:G28">B17+F17</f>
        <v>1333.2</v>
      </c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4"/>
      <c r="T17" s="4"/>
      <c r="U17" s="4"/>
    </row>
    <row r="18" spans="1:21" ht="15.75" thickBot="1">
      <c r="A18" s="21" t="s">
        <v>2</v>
      </c>
      <c r="B18" s="22">
        <v>1320</v>
      </c>
      <c r="C18" s="15">
        <f>($B$2-$D$5-$D$6-$D$7-$D$8-$D$9-$D$10-$D$11-$D$12-$D$13-$D$14-$D$15-$D$16-$D$17)*(0.38/730)*31</f>
        <v>152.23241796024814</v>
      </c>
      <c r="D18" s="6">
        <f t="shared" si="0"/>
        <v>808.6675820397519</v>
      </c>
      <c r="E18" s="23">
        <v>359.1</v>
      </c>
      <c r="F18" s="15">
        <f t="shared" si="3"/>
        <v>13.200000000000001</v>
      </c>
      <c r="G18" s="16">
        <f t="shared" si="4"/>
        <v>1333.2</v>
      </c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ht="15.75" thickBot="1">
      <c r="A19" s="21" t="s">
        <v>3</v>
      </c>
      <c r="B19" s="22">
        <v>1320</v>
      </c>
      <c r="C19" s="15">
        <f>($B$2-$D$5-$D$6-$D$7-$D$8-$D$9-$D$10-$D$11-$D$12-$D$13-$D$14-$D$15-$D$16-$D$17-$D$18)*(0.19/365)*28</f>
        <v>125.71364153104197</v>
      </c>
      <c r="D19" s="6">
        <f t="shared" si="0"/>
        <v>835.186358468958</v>
      </c>
      <c r="E19" s="23">
        <v>359.1</v>
      </c>
      <c r="F19" s="15">
        <f t="shared" si="3"/>
        <v>13.200000000000001</v>
      </c>
      <c r="G19" s="16">
        <f t="shared" si="4"/>
        <v>1333.2</v>
      </c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ht="15.75" thickBot="1">
      <c r="A20" s="21" t="s">
        <v>4</v>
      </c>
      <c r="B20" s="22">
        <v>1320</v>
      </c>
      <c r="C20" s="15">
        <f>($B$2-$D$5-$D$6-$D$7-$D$8-$D$9-$D$10-$D$11-$D$12-$D$13-$D$14-$D$15-$D$16-$D$17-$D$18)*(0.19/365)*31</f>
        <v>139.18296026651075</v>
      </c>
      <c r="D20" s="6">
        <f t="shared" si="0"/>
        <v>821.7170397334893</v>
      </c>
      <c r="E20" s="23">
        <v>359.1</v>
      </c>
      <c r="F20" s="15">
        <f t="shared" si="3"/>
        <v>13.200000000000001</v>
      </c>
      <c r="G20" s="16">
        <f t="shared" si="4"/>
        <v>1333.2</v>
      </c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thickBot="1">
      <c r="A21" s="21" t="s">
        <v>5</v>
      </c>
      <c r="B21" s="22">
        <v>1320</v>
      </c>
      <c r="C21" s="15">
        <f>($B$2-$D$5-$D$6-$D$7-$D$8-$D$9-$D$10-$D$11-$D$12-$D$13-$D$14-$D$15-$D$16-$D$17-$D$18-$D$19-$D$20)*(0.19/365)*30</f>
        <v>108.81825757454004</v>
      </c>
      <c r="D21" s="6">
        <f t="shared" si="0"/>
        <v>852.08174242546</v>
      </c>
      <c r="E21" s="23">
        <v>359.1</v>
      </c>
      <c r="F21" s="15">
        <f t="shared" si="3"/>
        <v>13.200000000000001</v>
      </c>
      <c r="G21" s="16">
        <f t="shared" si="4"/>
        <v>1333.2</v>
      </c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thickBot="1">
      <c r="A22" s="21" t="s">
        <v>6</v>
      </c>
      <c r="B22" s="22">
        <v>1320</v>
      </c>
      <c r="C22" s="15">
        <f>($B$2-$D$5-$D$6-$D$7-$D$8-$D$9-$D$10-$D$11-$D$12-$D$13-$D$14-$D$15-$D$16-$D$17-$D$18-$D$19-$D$20-$D$21)*(0.19/365)*31</f>
        <v>98.69550142185768</v>
      </c>
      <c r="D22" s="6">
        <f t="shared" si="0"/>
        <v>862.2044985781423</v>
      </c>
      <c r="E22" s="23">
        <v>359.1</v>
      </c>
      <c r="F22" s="15">
        <f t="shared" si="3"/>
        <v>13.200000000000001</v>
      </c>
      <c r="G22" s="16">
        <f t="shared" si="4"/>
        <v>1333.2</v>
      </c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thickBot="1">
      <c r="A23" s="21" t="s">
        <v>7</v>
      </c>
      <c r="B23" s="22">
        <v>1320</v>
      </c>
      <c r="C23" s="15">
        <f>($B$2-$D$5-$D$6-$D$7-$D$8-$D$9-$D$10-$D$11-$D$12-$D$13-$D$14-$D$15-$D$16-$D$17-$D$18-$D$19-$D$20-$D$21-$D$22)*(0.19/365)*30</f>
        <v>82.04721216708651</v>
      </c>
      <c r="D23" s="6">
        <f t="shared" si="0"/>
        <v>878.8527878329136</v>
      </c>
      <c r="E23" s="23">
        <v>359.1</v>
      </c>
      <c r="F23" s="15">
        <f t="shared" si="3"/>
        <v>13.200000000000001</v>
      </c>
      <c r="G23" s="16">
        <f t="shared" si="4"/>
        <v>1333.2</v>
      </c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thickBot="1">
      <c r="A24" s="21" t="s">
        <v>8</v>
      </c>
      <c r="B24" s="22">
        <v>1320</v>
      </c>
      <c r="C24" s="15">
        <f>($B$2-$D$5-$D$6-$D$7-$D$8-$D$9-$D$10-$D$11-$D$12-$D$13-$D$14-$D$15-$D$16-$D$17-$D$18-$D$19-$D$20-$D$21-$D$22-$D$23)*(0.19/365)*31</f>
        <v>70.60008384114231</v>
      </c>
      <c r="D24" s="6">
        <f t="shared" si="0"/>
        <v>890.2999161588576</v>
      </c>
      <c r="E24" s="23">
        <v>359.1</v>
      </c>
      <c r="F24" s="15">
        <f t="shared" si="3"/>
        <v>13.200000000000001</v>
      </c>
      <c r="G24" s="16">
        <f t="shared" si="4"/>
        <v>1333.2</v>
      </c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thickBot="1">
      <c r="A25" s="21" t="s">
        <v>9</v>
      </c>
      <c r="B25" s="22">
        <v>1320</v>
      </c>
      <c r="C25" s="15">
        <f>($B$2-$D$5-$D$6-$D$7-$D$8-$D$9-$D$10-$D$11-$D$12-$D$13-$D$14-$D$15-$D$16-$D$17-$D$18-$D$19-$D$20-$D$21-$D$22-$D$23-$D$24)*(0.19/365)*31</f>
        <v>56.23332628997608</v>
      </c>
      <c r="D25" s="6">
        <f t="shared" si="0"/>
        <v>904.6666737100239</v>
      </c>
      <c r="E25" s="23">
        <v>359.1</v>
      </c>
      <c r="F25" s="15">
        <f t="shared" si="3"/>
        <v>13.200000000000001</v>
      </c>
      <c r="G25" s="16">
        <f t="shared" si="4"/>
        <v>1333.2</v>
      </c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thickBot="1">
      <c r="A26" s="21" t="s">
        <v>17</v>
      </c>
      <c r="B26" s="22">
        <v>1320</v>
      </c>
      <c r="C26" s="15">
        <f>($B$2-$D$5-$D$6-$D$7-$D$8-$D$9-$D$10-$D$11-$D$12-$D$13-$D$14-$D$15-$D$16-$D$17-$D$18-$D$19-$D$20-$D$21-$D$22-$D$23-$D$24-$D$25)*(0.19/365)*30</f>
        <v>40.29167667968863</v>
      </c>
      <c r="D26" s="6">
        <f t="shared" si="0"/>
        <v>920.6083233203113</v>
      </c>
      <c r="E26" s="23">
        <v>359.1</v>
      </c>
      <c r="F26" s="15">
        <f t="shared" si="3"/>
        <v>13.200000000000001</v>
      </c>
      <c r="G26" s="16">
        <f t="shared" si="4"/>
        <v>1333.2</v>
      </c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thickBot="1">
      <c r="A27" s="21" t="s">
        <v>18</v>
      </c>
      <c r="B27" s="22">
        <v>1320</v>
      </c>
      <c r="C27" s="15">
        <f>($B$2-$D$5-$D$6-$D$7-$D$8-$D$9-$D$10-$D$11-$D$12-$D$13-$D$14-$D$15-$D$16-$D$17-$D$18-$D$19-$D$20-$D$21-$D$22-$D$23-$D$24-$D$25-$D$26)*(0.19/365)*31</f>
        <v>26.778888666664642</v>
      </c>
      <c r="D27" s="6">
        <f t="shared" si="0"/>
        <v>934.1211113333353</v>
      </c>
      <c r="E27" s="23">
        <v>359.1</v>
      </c>
      <c r="F27" s="15">
        <f t="shared" si="3"/>
        <v>13.200000000000001</v>
      </c>
      <c r="G27" s="16">
        <f t="shared" si="4"/>
        <v>1333.2</v>
      </c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thickBot="1">
      <c r="A28" s="21" t="s">
        <v>0</v>
      </c>
      <c r="B28" s="22">
        <f>C28+D28+E28</f>
        <v>1095.7790246838829</v>
      </c>
      <c r="C28" s="15">
        <f>($B$2-$D$5-$D$6-$D$7-$D$8-$D$9-$D$10-$D$11-$D$12-$D$13-$D$14-$D$15-$D$16-$D$17-$D$18-$D$19-$D$20-$D$21-$D$22-$D$23-$D$24-$D$25-$D$26-$D$27)*(0.19/365)*30</f>
        <v>11.327408796056337</v>
      </c>
      <c r="D28" s="28">
        <f>18900-SUM(D5:D27)</f>
        <v>725.3516158878265</v>
      </c>
      <c r="E28" s="23">
        <v>359.1</v>
      </c>
      <c r="F28" s="15">
        <f t="shared" si="3"/>
        <v>10.95779024683883</v>
      </c>
      <c r="G28" s="16">
        <f t="shared" si="4"/>
        <v>1106.7368149307217</v>
      </c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4"/>
      <c r="T28" s="4"/>
      <c r="U28" s="4"/>
    </row>
    <row r="29" spans="1:21" ht="18" thickBot="1" thickTop="1">
      <c r="A29" s="17" t="s">
        <v>12</v>
      </c>
      <c r="B29" s="18">
        <f>SUM(B5:B28)</f>
        <v>31455.77902468388</v>
      </c>
      <c r="C29" s="19">
        <f>SUM(C5:C28)</f>
        <v>3937.3790246838794</v>
      </c>
      <c r="D29" s="18">
        <v>18900</v>
      </c>
      <c r="E29" s="18">
        <f>SUM(E5:E28)</f>
        <v>8618.400000000003</v>
      </c>
      <c r="F29" s="19">
        <f>SUM(F5:F28)</f>
        <v>314.5577902468387</v>
      </c>
      <c r="G29" s="20">
        <f>SUM(G5:G28)</f>
        <v>31770.33681493073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3.5" thickTop="1">
      <c r="B30" s="4"/>
      <c r="D30" s="4"/>
      <c r="E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5" ht="12">
      <c r="B31" s="4"/>
      <c r="E31" s="4"/>
    </row>
  </sheetData>
  <printOptions/>
  <pageMargins left="0.75" right="0.75" top="1" bottom="1" header="0.5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F10" sqref="F10"/>
    </sheetView>
  </sheetViews>
  <sheetFormatPr defaultColWidth="9.00390625" defaultRowHeight="12.75"/>
  <cols>
    <col min="1" max="1" width="20.625" style="0" customWidth="1"/>
    <col min="2" max="2" width="13.50390625" style="0" customWidth="1"/>
    <col min="3" max="3" width="11.50390625" style="0" customWidth="1"/>
    <col min="4" max="4" width="13.625" style="0" customWidth="1"/>
    <col min="5" max="5" width="11.50390625" style="0" customWidth="1"/>
    <col min="6" max="6" width="15.875" style="0" customWidth="1"/>
    <col min="7" max="7" width="13.00390625" style="0" customWidth="1"/>
    <col min="8" max="8" width="15.50390625" style="0" customWidth="1"/>
  </cols>
  <sheetData>
    <row r="1" spans="1:12" ht="16.5" customHeight="1">
      <c r="A1" s="81" t="s">
        <v>27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</row>
    <row r="2" spans="1:12" ht="15" customHeight="1">
      <c r="A2" s="10" t="s">
        <v>15</v>
      </c>
      <c r="B2" s="9">
        <v>15450</v>
      </c>
      <c r="D2" s="10" t="s">
        <v>41</v>
      </c>
      <c r="H2" s="2"/>
      <c r="I2" s="1"/>
      <c r="J2" s="1"/>
      <c r="K2" s="1"/>
      <c r="L2" s="1"/>
    </row>
    <row r="3" spans="1:11" ht="19.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6.5" customHeight="1" thickBot="1" thickTop="1">
      <c r="A4" s="25" t="s">
        <v>10</v>
      </c>
      <c r="B4" s="51" t="s">
        <v>11</v>
      </c>
      <c r="C4" s="26" t="s">
        <v>13</v>
      </c>
      <c r="D4" s="49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0</v>
      </c>
      <c r="B5" s="78">
        <v>1720</v>
      </c>
      <c r="C5" s="74">
        <v>241.27397260273972</v>
      </c>
      <c r="D5" s="74">
        <v>1185.1760273972602</v>
      </c>
      <c r="E5" s="74">
        <v>293.55</v>
      </c>
      <c r="F5" s="74">
        <v>17.2</v>
      </c>
      <c r="G5" s="24">
        <v>1737.2</v>
      </c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69" t="s">
        <v>18</v>
      </c>
      <c r="B6" s="79">
        <v>1678.8491901218483</v>
      </c>
      <c r="C6" s="75">
        <v>21.30079682679937</v>
      </c>
      <c r="D6" s="75">
        <v>1363.998393295049</v>
      </c>
      <c r="E6" s="75">
        <v>293.55</v>
      </c>
      <c r="F6" s="75">
        <v>16.788491901218485</v>
      </c>
      <c r="G6" s="71">
        <v>1695.6376820230669</v>
      </c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1:21" ht="20.25" thickTop="1">
      <c r="A7" s="81" t="s">
        <v>20</v>
      </c>
      <c r="B7" s="68"/>
      <c r="C7" s="68"/>
      <c r="D7" s="68"/>
      <c r="E7" s="68"/>
      <c r="F7" s="68"/>
      <c r="G7" s="68"/>
      <c r="H7" s="82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8">
      <c r="A8" s="10" t="s">
        <v>15</v>
      </c>
      <c r="B8" s="9">
        <v>18900</v>
      </c>
      <c r="D8" s="10" t="s">
        <v>43</v>
      </c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8" thickBot="1">
      <c r="A9" s="10" t="s">
        <v>16</v>
      </c>
      <c r="B9" s="9">
        <v>19</v>
      </c>
      <c r="D9" s="10" t="s">
        <v>25</v>
      </c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43.5" thickBot="1" thickTop="1">
      <c r="A10" s="25" t="s">
        <v>10</v>
      </c>
      <c r="B10" s="51" t="s">
        <v>11</v>
      </c>
      <c r="C10" s="26" t="s">
        <v>13</v>
      </c>
      <c r="D10" s="51" t="s">
        <v>26</v>
      </c>
      <c r="E10" s="26" t="s">
        <v>19</v>
      </c>
      <c r="F10" s="51" t="s">
        <v>29</v>
      </c>
      <c r="G10" s="50" t="s">
        <v>28</v>
      </c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16.5" thickBot="1" thickTop="1">
      <c r="A11" s="21" t="s">
        <v>1</v>
      </c>
      <c r="B11" s="78">
        <v>1320</v>
      </c>
      <c r="C11" s="74">
        <v>304.99</v>
      </c>
      <c r="D11" s="74">
        <f>B11-C11-E11</f>
        <v>655.91</v>
      </c>
      <c r="E11" s="74">
        <v>359.1</v>
      </c>
      <c r="F11" s="74">
        <f>B11*0.01</f>
        <v>13.200000000000001</v>
      </c>
      <c r="G11" s="24">
        <f>B11+F11</f>
        <v>1333.2</v>
      </c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72" t="s">
        <v>0</v>
      </c>
      <c r="B12" s="80">
        <v>1095.78</v>
      </c>
      <c r="C12" s="75">
        <v>11.33</v>
      </c>
      <c r="D12" s="76">
        <v>725.35</v>
      </c>
      <c r="E12" s="77">
        <v>359.1</v>
      </c>
      <c r="F12" s="75">
        <v>10.96</v>
      </c>
      <c r="G12" s="71">
        <v>1106.74</v>
      </c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8" thickTop="1">
      <c r="A13" s="83" t="s">
        <v>34</v>
      </c>
      <c r="B13" s="83"/>
      <c r="C13" s="83"/>
      <c r="D13" s="8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8">
      <c r="A14" s="83" t="s">
        <v>37</v>
      </c>
      <c r="B14" s="83"/>
      <c r="C14" s="83"/>
      <c r="D14" s="8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8:21" ht="15"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8:21" ht="12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8:21" ht="12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</sheetData>
  <printOptions/>
  <pageMargins left="0.75" right="0.75" top="1" bottom="1" header="0.5" footer="0.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D2" sqref="D2"/>
    </sheetView>
  </sheetViews>
  <sheetFormatPr defaultColWidth="9.00390625" defaultRowHeight="12.75"/>
  <cols>
    <col min="1" max="1" width="20.625" style="0" customWidth="1"/>
    <col min="2" max="2" width="13.50390625" style="0" customWidth="1"/>
    <col min="3" max="3" width="11.50390625" style="0" customWidth="1"/>
    <col min="4" max="4" width="13.625" style="0" customWidth="1"/>
    <col min="5" max="5" width="11.50390625" style="0" customWidth="1"/>
    <col min="6" max="6" width="15.875" style="0" customWidth="1"/>
    <col min="7" max="7" width="13.00390625" style="0" customWidth="1"/>
    <col min="8" max="8" width="15.50390625" style="0" customWidth="1"/>
  </cols>
  <sheetData>
    <row r="1" spans="1:12" ht="16.5" customHeight="1">
      <c r="A1" s="29" t="s">
        <v>27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5" customHeight="1">
      <c r="A2" s="10" t="s">
        <v>15</v>
      </c>
      <c r="B2" s="9">
        <v>15450</v>
      </c>
      <c r="D2" s="10" t="s">
        <v>30</v>
      </c>
      <c r="H2" s="2"/>
      <c r="I2" s="1"/>
      <c r="J2" s="1"/>
      <c r="K2" s="1"/>
      <c r="L2" s="1"/>
    </row>
    <row r="3" spans="1:11" ht="19.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6.5" customHeight="1" thickBot="1" thickTop="1">
      <c r="A4" s="25" t="s">
        <v>10</v>
      </c>
      <c r="B4" s="51" t="s">
        <v>11</v>
      </c>
      <c r="C4" s="26" t="s">
        <v>13</v>
      </c>
      <c r="D4" s="49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0</v>
      </c>
      <c r="B5" s="22">
        <v>1720</v>
      </c>
      <c r="C5" s="74">
        <v>241.27397260273972</v>
      </c>
      <c r="D5" s="74">
        <v>1185.1760273972602</v>
      </c>
      <c r="E5" s="74">
        <v>293.55</v>
      </c>
      <c r="F5" s="74">
        <v>17.2</v>
      </c>
      <c r="G5" s="24">
        <v>1737.2</v>
      </c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69" t="s">
        <v>18</v>
      </c>
      <c r="B6" s="70">
        <v>1678.8491901218483</v>
      </c>
      <c r="C6" s="75">
        <v>21.30079682679937</v>
      </c>
      <c r="D6" s="75">
        <v>1363.998393295049</v>
      </c>
      <c r="E6" s="75">
        <v>293.55</v>
      </c>
      <c r="F6" s="75">
        <v>16.788491901218485</v>
      </c>
      <c r="G6" s="71">
        <v>1695.6376820230669</v>
      </c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2:21" ht="15.75" thickTop="1">
      <c r="B7" s="4"/>
      <c r="D7" s="4"/>
      <c r="E7" s="12"/>
      <c r="G7" s="4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9.5">
      <c r="A8" s="29" t="s">
        <v>20</v>
      </c>
      <c r="B8" s="30"/>
      <c r="C8" s="30"/>
      <c r="D8" s="30"/>
      <c r="E8" s="30"/>
      <c r="F8" s="30"/>
      <c r="G8" s="30"/>
      <c r="H8" s="5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8">
      <c r="A9" s="10" t="s">
        <v>15</v>
      </c>
      <c r="B9" s="9">
        <v>18900</v>
      </c>
      <c r="D9" s="10" t="s">
        <v>31</v>
      </c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18" thickBot="1">
      <c r="A10" s="10" t="s">
        <v>16</v>
      </c>
      <c r="B10" s="9">
        <v>19</v>
      </c>
      <c r="D10" s="10" t="s">
        <v>25</v>
      </c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43.5" thickBot="1" thickTop="1">
      <c r="A11" s="25" t="s">
        <v>10</v>
      </c>
      <c r="B11" s="51" t="s">
        <v>11</v>
      </c>
      <c r="C11" s="26" t="s">
        <v>13</v>
      </c>
      <c r="D11" s="51" t="s">
        <v>26</v>
      </c>
      <c r="E11" s="26" t="s">
        <v>19</v>
      </c>
      <c r="F11" s="51" t="s">
        <v>29</v>
      </c>
      <c r="G11" s="50" t="s">
        <v>28</v>
      </c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6.5" thickBot="1" thickTop="1">
      <c r="A12" s="21" t="s">
        <v>1</v>
      </c>
      <c r="B12" s="22">
        <v>1320</v>
      </c>
      <c r="C12" s="74">
        <f>(0.19/365*$B$2)*31</f>
        <v>249.31643835616438</v>
      </c>
      <c r="D12" s="74">
        <f>B12-C12-E12</f>
        <v>711.5835616438357</v>
      </c>
      <c r="E12" s="74">
        <v>359.1</v>
      </c>
      <c r="F12" s="74">
        <f>B12*0.01</f>
        <v>13.200000000000001</v>
      </c>
      <c r="G12" s="24">
        <f>B12+F12</f>
        <v>1333.2</v>
      </c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thickBot="1">
      <c r="A13" s="72" t="s">
        <v>0</v>
      </c>
      <c r="B13" s="73">
        <v>1095.78</v>
      </c>
      <c r="C13" s="75">
        <v>11.33</v>
      </c>
      <c r="D13" s="76">
        <v>725.35</v>
      </c>
      <c r="E13" s="77">
        <v>359.1</v>
      </c>
      <c r="F13" s="75">
        <v>10.96</v>
      </c>
      <c r="G13" s="71">
        <v>1106.34</v>
      </c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8:21" ht="15.75" thickTop="1"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8:21" ht="15"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8:21" ht="15"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8:21" ht="12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8:21" ht="12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printOptions/>
  <pageMargins left="0.75" right="0.75" top="1" bottom="1" header="0.5" footer="0.5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D2" sqref="D2"/>
    </sheetView>
  </sheetViews>
  <sheetFormatPr defaultColWidth="9.00390625" defaultRowHeight="12.75"/>
  <cols>
    <col min="1" max="1" width="20.625" style="0" customWidth="1"/>
    <col min="2" max="2" width="13.50390625" style="0" customWidth="1"/>
    <col min="3" max="3" width="11.50390625" style="0" customWidth="1"/>
    <col min="4" max="4" width="13.625" style="0" customWidth="1"/>
    <col min="5" max="5" width="11.50390625" style="0" customWidth="1"/>
    <col min="6" max="6" width="15.875" style="0" customWidth="1"/>
    <col min="7" max="7" width="13.00390625" style="0" customWidth="1"/>
    <col min="8" max="8" width="15.50390625" style="0" customWidth="1"/>
  </cols>
  <sheetData>
    <row r="1" spans="1:12" ht="16.5" customHeight="1">
      <c r="A1" s="29" t="s">
        <v>27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</row>
    <row r="2" spans="1:12" ht="15" customHeight="1">
      <c r="A2" s="10" t="s">
        <v>15</v>
      </c>
      <c r="B2" s="9">
        <v>15450</v>
      </c>
      <c r="D2" s="10" t="s">
        <v>41</v>
      </c>
      <c r="H2" s="2"/>
      <c r="I2" s="1"/>
      <c r="J2" s="1"/>
      <c r="K2" s="1"/>
      <c r="L2" s="1"/>
    </row>
    <row r="3" spans="1:11" ht="19.5" customHeight="1" thickBot="1">
      <c r="A3" s="10" t="s">
        <v>16</v>
      </c>
      <c r="B3" s="9">
        <v>19</v>
      </c>
      <c r="D3" s="10" t="s">
        <v>25</v>
      </c>
      <c r="H3" s="1"/>
      <c r="I3" s="1"/>
      <c r="J3" s="1"/>
      <c r="K3" s="1"/>
    </row>
    <row r="4" spans="1:12" ht="46.5" customHeight="1" thickBot="1" thickTop="1">
      <c r="A4" s="25" t="s">
        <v>10</v>
      </c>
      <c r="B4" s="51" t="s">
        <v>11</v>
      </c>
      <c r="C4" s="26" t="s">
        <v>13</v>
      </c>
      <c r="D4" s="49" t="s">
        <v>26</v>
      </c>
      <c r="E4" s="26" t="s">
        <v>19</v>
      </c>
      <c r="F4" s="51" t="s">
        <v>29</v>
      </c>
      <c r="G4" s="50" t="s">
        <v>28</v>
      </c>
      <c r="H4" s="1"/>
      <c r="I4" s="1"/>
      <c r="J4" s="1"/>
      <c r="K4" s="1"/>
      <c r="L4" s="1"/>
    </row>
    <row r="5" spans="1:21" ht="16.5" thickBot="1" thickTop="1">
      <c r="A5" s="21" t="s">
        <v>0</v>
      </c>
      <c r="B5" s="22">
        <v>1720</v>
      </c>
      <c r="C5" s="23">
        <f>(0.19/365*$B$2)*30</f>
        <v>241.27397260273972</v>
      </c>
      <c r="D5" s="23">
        <f aca="true" t="shared" si="0" ref="D5:D15">B5-C5-E5</f>
        <v>1185.1760273972602</v>
      </c>
      <c r="E5" s="23">
        <f>0.019*$B$2</f>
        <v>293.55</v>
      </c>
      <c r="F5" s="23">
        <f>B5*0.01</f>
        <v>17.2</v>
      </c>
      <c r="G5" s="24">
        <f>B5+F5</f>
        <v>1737.2</v>
      </c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>
      <c r="A6" s="7" t="s">
        <v>1</v>
      </c>
      <c r="B6" s="8">
        <v>1720</v>
      </c>
      <c r="C6" s="6">
        <f>($B$2-$D$5)*(0.19/365)*31</f>
        <v>230.19126903734283</v>
      </c>
      <c r="D6" s="6">
        <f t="shared" si="0"/>
        <v>1196.2587309626572</v>
      </c>
      <c r="E6" s="6">
        <f aca="true" t="shared" si="1" ref="E6:E16">0.019*$B$2</f>
        <v>293.55</v>
      </c>
      <c r="F6" s="6">
        <f aca="true" t="shared" si="2" ref="F6:F16">B6*0.01</f>
        <v>17.2</v>
      </c>
      <c r="G6" s="11">
        <f aca="true" t="shared" si="3" ref="G6:G16">B6+F6</f>
        <v>1737.2</v>
      </c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</row>
    <row r="7" spans="1:21" ht="15.75" thickBot="1">
      <c r="A7" s="7" t="s">
        <v>2</v>
      </c>
      <c r="B7" s="8">
        <v>1720</v>
      </c>
      <c r="C7" s="6">
        <f>($B$2-$D$5-$D$6)*(0.19/365)*31</f>
        <v>210.88725828290433</v>
      </c>
      <c r="D7" s="6">
        <f t="shared" si="0"/>
        <v>1215.5627417170956</v>
      </c>
      <c r="E7" s="6">
        <f t="shared" si="1"/>
        <v>293.55</v>
      </c>
      <c r="F7" s="6">
        <f t="shared" si="2"/>
        <v>17.2</v>
      </c>
      <c r="G7" s="11">
        <f t="shared" si="3"/>
        <v>1737.2</v>
      </c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</row>
    <row r="8" spans="1:21" ht="15.75" thickBot="1">
      <c r="A8" s="7" t="s">
        <v>3</v>
      </c>
      <c r="B8" s="8">
        <v>1720</v>
      </c>
      <c r="C8" s="6">
        <f>($B$2-$D$5-$D$6-$D$7)*(0.19/365)*28</f>
        <v>172.761570683809</v>
      </c>
      <c r="D8" s="6">
        <f t="shared" si="0"/>
        <v>1253.688429316191</v>
      </c>
      <c r="E8" s="6">
        <f t="shared" si="1"/>
        <v>293.55</v>
      </c>
      <c r="F8" s="6">
        <f t="shared" si="2"/>
        <v>17.2</v>
      </c>
      <c r="G8" s="11">
        <f t="shared" si="3"/>
        <v>1737.2</v>
      </c>
      <c r="H8" s="5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</row>
    <row r="9" spans="1:21" ht="15.75" thickBot="1">
      <c r="A9" s="7" t="s">
        <v>4</v>
      </c>
      <c r="B9" s="8">
        <v>1720</v>
      </c>
      <c r="C9" s="6">
        <f>($B$2-$D$5-$D$6-$D$7-$D$8)*(0.19/365)*31</f>
        <v>171.04098596129867</v>
      </c>
      <c r="D9" s="6">
        <f t="shared" si="0"/>
        <v>1255.4090140387013</v>
      </c>
      <c r="E9" s="6">
        <f t="shared" si="1"/>
        <v>293.55</v>
      </c>
      <c r="F9" s="6">
        <f t="shared" si="2"/>
        <v>17.2</v>
      </c>
      <c r="G9" s="11">
        <f t="shared" si="3"/>
        <v>1737.2</v>
      </c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7" t="s">
        <v>5</v>
      </c>
      <c r="B10" s="8">
        <v>1720</v>
      </c>
      <c r="C10" s="6">
        <f>($B$2-$D$5-$D$6-$D$7-$D$8-$D$9)*(0.19/365)*30</f>
        <v>145.9185173217483</v>
      </c>
      <c r="D10" s="6">
        <f t="shared" si="0"/>
        <v>1280.5314826782517</v>
      </c>
      <c r="E10" s="6">
        <f t="shared" si="1"/>
        <v>293.55</v>
      </c>
      <c r="F10" s="6">
        <f t="shared" si="2"/>
        <v>17.2</v>
      </c>
      <c r="G10" s="11">
        <f t="shared" si="3"/>
        <v>1737.2</v>
      </c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>
      <c r="A11" s="7" t="s">
        <v>6</v>
      </c>
      <c r="B11" s="8">
        <v>1720</v>
      </c>
      <c r="C11" s="6">
        <f>($B$2-$D$5-$D$6-$D$7-$D$8-$D$9-$D$10)*(0.19/365)*31</f>
        <v>130.1185489046881</v>
      </c>
      <c r="D11" s="6">
        <f t="shared" si="0"/>
        <v>1296.3314510953119</v>
      </c>
      <c r="E11" s="6">
        <f t="shared" si="1"/>
        <v>293.55</v>
      </c>
      <c r="F11" s="6">
        <f t="shared" si="2"/>
        <v>17.2</v>
      </c>
      <c r="G11" s="11">
        <f t="shared" si="3"/>
        <v>1737.2</v>
      </c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7" t="s">
        <v>7</v>
      </c>
      <c r="B12" s="8">
        <v>1720</v>
      </c>
      <c r="C12" s="6">
        <f>($B$2-$D$5-$D$6-$D$7-$D$8-$D$9-$D$10-$D$11)*(0.19/365)*30</f>
        <v>105.67709616418854</v>
      </c>
      <c r="D12" s="6">
        <f t="shared" si="0"/>
        <v>1320.7729038358116</v>
      </c>
      <c r="E12" s="6">
        <f t="shared" si="1"/>
        <v>293.55</v>
      </c>
      <c r="F12" s="6">
        <f t="shared" si="2"/>
        <v>17.2</v>
      </c>
      <c r="G12" s="11">
        <f t="shared" si="3"/>
        <v>1737.2</v>
      </c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thickBot="1">
      <c r="A13" s="7" t="s">
        <v>8</v>
      </c>
      <c r="B13" s="8">
        <v>1720</v>
      </c>
      <c r="C13" s="6">
        <f>($B$2-$D$5-$D$6-$D$7-$D$8-$D$9-$D$10-$D$11-$D$12)*(0.19/365)*31</f>
        <v>87.88637177990917</v>
      </c>
      <c r="D13" s="6">
        <f t="shared" si="0"/>
        <v>1338.5636282200908</v>
      </c>
      <c r="E13" s="6">
        <f t="shared" si="1"/>
        <v>293.55</v>
      </c>
      <c r="F13" s="6">
        <f t="shared" si="2"/>
        <v>17.2</v>
      </c>
      <c r="G13" s="11">
        <f t="shared" si="3"/>
        <v>1737.2</v>
      </c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thickBot="1">
      <c r="A14" s="7" t="s">
        <v>9</v>
      </c>
      <c r="B14" s="8">
        <v>1720</v>
      </c>
      <c r="C14" s="6">
        <f>($B$2-$D$5-$D$6-$D$7-$D$8-$D$9-$D$10-$D$11-$D$12-$D$13)*(0.19/365)*31</f>
        <v>66.28598884780963</v>
      </c>
      <c r="D14" s="6">
        <f t="shared" si="0"/>
        <v>1360.1640111521904</v>
      </c>
      <c r="E14" s="6">
        <f t="shared" si="1"/>
        <v>293.55</v>
      </c>
      <c r="F14" s="6">
        <f t="shared" si="2"/>
        <v>17.2</v>
      </c>
      <c r="G14" s="11">
        <f t="shared" si="3"/>
        <v>1737.2</v>
      </c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thickBot="1">
      <c r="A15" s="7" t="s">
        <v>17</v>
      </c>
      <c r="B15" s="8">
        <v>1720</v>
      </c>
      <c r="C15" s="6">
        <f>($B$2-$D$5-$D$6-$D$7-$D$8-$D$9-$D$10-$D$11-$D$12-$D$13-$D$14)*(0.19/365)*30</f>
        <v>42.906813708610116</v>
      </c>
      <c r="D15" s="6">
        <f t="shared" si="0"/>
        <v>1383.54318629139</v>
      </c>
      <c r="E15" s="6">
        <f t="shared" si="1"/>
        <v>293.55</v>
      </c>
      <c r="F15" s="6">
        <f t="shared" si="2"/>
        <v>17.2</v>
      </c>
      <c r="G15" s="11">
        <f t="shared" si="3"/>
        <v>1737.2</v>
      </c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thickBot="1">
      <c r="A16" s="13" t="s">
        <v>18</v>
      </c>
      <c r="B16" s="14">
        <f>D16+E16+C16</f>
        <v>1678.8491901218483</v>
      </c>
      <c r="C16" s="15">
        <f>($B$2-$D$5-$D$6-$D$7-$D$8-$D$9-$D$10-$D$11-$D$12-$D$13-$D$14-$D$15)*(0.19/365)*30</f>
        <v>21.30079682679937</v>
      </c>
      <c r="D16" s="15">
        <f>B2-SUM(D5:D15)</f>
        <v>1363.998393295049</v>
      </c>
      <c r="E16" s="15">
        <f t="shared" si="1"/>
        <v>293.55</v>
      </c>
      <c r="F16" s="15">
        <f t="shared" si="2"/>
        <v>16.788491901218485</v>
      </c>
      <c r="G16" s="16">
        <f t="shared" si="3"/>
        <v>1695.6376820230669</v>
      </c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1:21" ht="18" thickBot="1" thickTop="1">
      <c r="A17" s="17" t="s">
        <v>12</v>
      </c>
      <c r="B17" s="18">
        <f>SUM(B5:B16)</f>
        <v>20598.849190121848</v>
      </c>
      <c r="C17" s="19">
        <f>SUM(C5:C16)</f>
        <v>1626.249190121848</v>
      </c>
      <c r="D17" s="18">
        <v>15450</v>
      </c>
      <c r="E17" s="18">
        <f>SUM(E5:E16)</f>
        <v>3522.600000000001</v>
      </c>
      <c r="F17" s="19">
        <f>SUM(F5:F16)</f>
        <v>205.98849190121845</v>
      </c>
      <c r="G17" s="20">
        <f>SUM(G5:G16)</f>
        <v>20804.83768202307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3.5" thickTop="1">
      <c r="B18" s="4"/>
      <c r="D18" s="4"/>
      <c r="E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5" ht="12">
      <c r="B19" s="4"/>
      <c r="E19" s="4"/>
    </row>
  </sheetData>
  <printOptions/>
  <pageMargins left="0.75" right="0.75" top="1" bottom="1" header="0.5" footer="0.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8" sqref="E18"/>
    </sheetView>
  </sheetViews>
  <sheetFormatPr defaultColWidth="9.00390625" defaultRowHeight="12.75"/>
  <cols>
    <col min="1" max="1" width="13.125" style="0" customWidth="1"/>
    <col min="2" max="2" width="20.875" style="0" customWidth="1"/>
    <col min="3" max="3" width="18.50390625" style="0" customWidth="1"/>
    <col min="4" max="4" width="16.375" style="0" customWidth="1"/>
    <col min="5" max="5" width="17.875" style="0" customWidth="1"/>
    <col min="6" max="6" width="18.50390625" style="0" customWidth="1"/>
  </cols>
  <sheetData>
    <row r="1" spans="1:6" ht="19.5">
      <c r="A1" s="31" t="s">
        <v>24</v>
      </c>
      <c r="B1" s="32"/>
      <c r="C1" s="32"/>
      <c r="D1" s="32"/>
      <c r="E1" s="32"/>
      <c r="F1" s="32"/>
    </row>
    <row r="2" ht="12.75" thickBot="1"/>
    <row r="3" spans="1:6" ht="18.75" thickBot="1" thickTop="1">
      <c r="A3" s="33"/>
      <c r="B3" s="34" t="s">
        <v>15</v>
      </c>
      <c r="C3" s="34" t="s">
        <v>13</v>
      </c>
      <c r="D3" s="34" t="s">
        <v>19</v>
      </c>
      <c r="E3" s="34" t="s">
        <v>14</v>
      </c>
      <c r="F3" s="35" t="s">
        <v>23</v>
      </c>
    </row>
    <row r="4" spans="1:6" ht="18.75" thickBot="1" thickTop="1">
      <c r="A4" s="53" t="s">
        <v>21</v>
      </c>
      <c r="B4" s="54">
        <v>15450</v>
      </c>
      <c r="C4" s="55">
        <v>1626.249190121848</v>
      </c>
      <c r="D4" s="54">
        <v>3522.6</v>
      </c>
      <c r="E4" s="55">
        <v>205.98849190121845</v>
      </c>
      <c r="F4" s="65">
        <v>20804.83768202307</v>
      </c>
    </row>
    <row r="5" spans="1:6" ht="18.75" thickBot="1" thickTop="1">
      <c r="A5" s="56" t="s">
        <v>22</v>
      </c>
      <c r="B5" s="57">
        <v>18900</v>
      </c>
      <c r="C5" s="58">
        <v>3937.38</v>
      </c>
      <c r="D5" s="57">
        <v>8618.4</v>
      </c>
      <c r="E5" s="58">
        <v>314.37964394672093</v>
      </c>
      <c r="F5" s="65">
        <v>31770.3440386188</v>
      </c>
    </row>
    <row r="6" ht="12.75" thickTop="1"/>
    <row r="7" ht="19.5">
      <c r="A7" s="63" t="s">
        <v>35</v>
      </c>
    </row>
    <row r="11" ht="12">
      <c r="C11" s="62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4" sqref="A14"/>
    </sheetView>
  </sheetViews>
  <sheetFormatPr defaultColWidth="9.00390625" defaultRowHeight="12.75"/>
  <cols>
    <col min="1" max="1" width="13.125" style="0" customWidth="1"/>
    <col min="2" max="2" width="20.875" style="0" customWidth="1"/>
    <col min="3" max="3" width="18.50390625" style="0" customWidth="1"/>
    <col min="4" max="4" width="16.375" style="0" customWidth="1"/>
    <col min="5" max="5" width="17.875" style="0" customWidth="1"/>
    <col min="6" max="6" width="18.50390625" style="0" customWidth="1"/>
  </cols>
  <sheetData>
    <row r="1" spans="1:6" ht="19.5">
      <c r="A1" s="31" t="s">
        <v>24</v>
      </c>
      <c r="B1" s="32"/>
      <c r="C1" s="32"/>
      <c r="D1" s="32"/>
      <c r="E1" s="32"/>
      <c r="F1" s="32"/>
    </row>
    <row r="2" ht="12.75" thickBot="1"/>
    <row r="3" spans="1:6" ht="18.75" thickBot="1" thickTop="1">
      <c r="A3" s="33"/>
      <c r="B3" s="34" t="s">
        <v>15</v>
      </c>
      <c r="C3" s="34" t="s">
        <v>13</v>
      </c>
      <c r="D3" s="34" t="s">
        <v>19</v>
      </c>
      <c r="E3" s="34" t="s">
        <v>14</v>
      </c>
      <c r="F3" s="35" t="s">
        <v>23</v>
      </c>
    </row>
    <row r="4" spans="1:6" ht="18.75" thickBot="1" thickTop="1">
      <c r="A4" s="53" t="s">
        <v>21</v>
      </c>
      <c r="B4" s="64">
        <v>15450</v>
      </c>
      <c r="C4" s="55">
        <v>1626.249190121848</v>
      </c>
      <c r="D4" s="54">
        <v>3522.6</v>
      </c>
      <c r="E4" s="55">
        <v>205.98849190121845</v>
      </c>
      <c r="F4" s="65">
        <v>20804.83768202307</v>
      </c>
    </row>
    <row r="5" spans="1:6" ht="18.75" thickBot="1" thickTop="1">
      <c r="A5" s="56" t="s">
        <v>22</v>
      </c>
      <c r="B5" s="64">
        <v>18900</v>
      </c>
      <c r="C5" s="58">
        <v>3937.38</v>
      </c>
      <c r="D5" s="57">
        <v>8618.4</v>
      </c>
      <c r="E5" s="58">
        <v>314.37964394672093</v>
      </c>
      <c r="F5" s="65">
        <v>31770.3440386188</v>
      </c>
    </row>
    <row r="6" ht="12.75" thickTop="1"/>
    <row r="7" ht="19.5">
      <c r="A7" s="63" t="s">
        <v>32</v>
      </c>
    </row>
    <row r="11" ht="12">
      <c r="C11" s="62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</dc:creator>
  <cp:keywords/>
  <dc:description/>
  <cp:lastModifiedBy>Косов</cp:lastModifiedBy>
  <cp:lastPrinted>2005-02-15T15:07:54Z</cp:lastPrinted>
  <dcterms:created xsi:type="dcterms:W3CDTF">2005-01-13T16:35:46Z</dcterms:created>
  <dcterms:modified xsi:type="dcterms:W3CDTF">2009-01-19T11:41:46Z</dcterms:modified>
  <cp:category/>
  <cp:version/>
  <cp:contentType/>
  <cp:contentStatus/>
</cp:coreProperties>
</file>